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Default Extension="jpeg" ContentType="image/jpeg"/>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23565" windowHeight="12585"/>
  </bookViews>
  <sheets>
    <sheet name="Cover-reader" sheetId="15" r:id="rId1"/>
    <sheet name="calculation" sheetId="13" r:id="rId2"/>
    <sheet name="data multi" sheetId="6" r:id="rId3"/>
    <sheet name="data insulation" sheetId="1" r:id="rId4"/>
    <sheet name="Blad1" sheetId="14" r:id="rId5"/>
  </sheets>
  <calcPr calcId="125725"/>
</workbook>
</file>

<file path=xl/calcChain.xml><?xml version="1.0" encoding="utf-8"?>
<calcChain xmlns="http://schemas.openxmlformats.org/spreadsheetml/2006/main">
  <c r="AI12" i="13"/>
  <c r="AI11"/>
  <c r="AI9"/>
  <c r="AI10"/>
  <c r="I45"/>
  <c r="I34" s="1"/>
  <c r="I33"/>
  <c r="I32"/>
  <c r="I26"/>
  <c r="I25"/>
  <c r="I24"/>
  <c r="I23"/>
  <c r="I18"/>
  <c r="I16"/>
  <c r="J97"/>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V68" l="1"/>
  <c r="V67"/>
  <c r="V66"/>
  <c r="V65"/>
  <c r="X68"/>
  <c r="Y68" s="1"/>
  <c r="AH23" s="1"/>
  <c r="AH30" s="1"/>
  <c r="X67"/>
  <c r="Y67" s="1"/>
  <c r="X66"/>
  <c r="X65"/>
  <c r="Y65" s="1"/>
  <c r="C42"/>
  <c r="I16" i="1"/>
  <c r="G16"/>
  <c r="AH9" i="13"/>
  <c r="AI57"/>
  <c r="AI63" s="1"/>
  <c r="Y66" l="1"/>
  <c r="AH21" s="1"/>
  <c r="AH28" s="1"/>
  <c r="AH35" s="1"/>
  <c r="AH22"/>
  <c r="AH29" s="1"/>
  <c r="AH36" s="1"/>
  <c r="AH20"/>
  <c r="AH27" s="1"/>
  <c r="Z67"/>
  <c r="AH11" s="1"/>
  <c r="AI20"/>
  <c r="AI34" s="1"/>
  <c r="AH37"/>
  <c r="AH34"/>
  <c r="Z66"/>
  <c r="AH10" s="1"/>
  <c r="Z68"/>
  <c r="AH12" s="1"/>
  <c r="AI27" l="1"/>
  <c r="AJ27" s="1"/>
  <c r="AI108"/>
  <c r="AE11"/>
  <c r="AI116" s="1"/>
  <c r="C95"/>
  <c r="L93"/>
  <c r="J93"/>
  <c r="G93"/>
  <c r="F93"/>
  <c r="L92"/>
  <c r="J92"/>
  <c r="M92" s="1"/>
  <c r="G92"/>
  <c r="F92"/>
  <c r="L91"/>
  <c r="J91"/>
  <c r="G91"/>
  <c r="F91"/>
  <c r="L90"/>
  <c r="J90"/>
  <c r="G90"/>
  <c r="F90"/>
  <c r="L89"/>
  <c r="J89"/>
  <c r="G89"/>
  <c r="F89"/>
  <c r="L88"/>
  <c r="J88"/>
  <c r="G88"/>
  <c r="F88"/>
  <c r="L87"/>
  <c r="J87"/>
  <c r="G87"/>
  <c r="F87"/>
  <c r="L86"/>
  <c r="J86"/>
  <c r="G86"/>
  <c r="F86"/>
  <c r="L85"/>
  <c r="J85"/>
  <c r="G85"/>
  <c r="F85"/>
  <c r="L84"/>
  <c r="J84"/>
  <c r="G84"/>
  <c r="F84"/>
  <c r="L83"/>
  <c r="J83"/>
  <c r="G83"/>
  <c r="F83"/>
  <c r="AI81"/>
  <c r="AI89" s="1"/>
  <c r="L82"/>
  <c r="J82"/>
  <c r="G82"/>
  <c r="L81"/>
  <c r="J81"/>
  <c r="G81"/>
  <c r="L80"/>
  <c r="J80"/>
  <c r="G80"/>
  <c r="L79"/>
  <c r="J79"/>
  <c r="G79"/>
  <c r="L78"/>
  <c r="J78"/>
  <c r="G78"/>
  <c r="L77"/>
  <c r="J77"/>
  <c r="G77"/>
  <c r="L76"/>
  <c r="J76"/>
  <c r="G76"/>
  <c r="L75"/>
  <c r="J75"/>
  <c r="G75"/>
  <c r="L74"/>
  <c r="J74"/>
  <c r="G74"/>
  <c r="L73"/>
  <c r="J73"/>
  <c r="G73"/>
  <c r="L72"/>
  <c r="J72"/>
  <c r="G72"/>
  <c r="L71"/>
  <c r="J71"/>
  <c r="G71"/>
  <c r="L70"/>
  <c r="J70"/>
  <c r="G70"/>
  <c r="L69"/>
  <c r="J69"/>
  <c r="G69"/>
  <c r="L68"/>
  <c r="J68"/>
  <c r="G68"/>
  <c r="L67"/>
  <c r="J67"/>
  <c r="G67"/>
  <c r="L66"/>
  <c r="J66"/>
  <c r="G66"/>
  <c r="L65"/>
  <c r="J65"/>
  <c r="G65"/>
  <c r="F65"/>
  <c r="L64"/>
  <c r="J64"/>
  <c r="G64"/>
  <c r="F64"/>
  <c r="L63"/>
  <c r="J63"/>
  <c r="G63"/>
  <c r="F63"/>
  <c r="L62"/>
  <c r="J62"/>
  <c r="G62"/>
  <c r="F62"/>
  <c r="L61"/>
  <c r="J61"/>
  <c r="G61"/>
  <c r="F61"/>
  <c r="L60"/>
  <c r="J60"/>
  <c r="G60"/>
  <c r="F60"/>
  <c r="L59"/>
  <c r="J59"/>
  <c r="G59"/>
  <c r="F59"/>
  <c r="L58"/>
  <c r="J58"/>
  <c r="G58"/>
  <c r="F58"/>
  <c r="L57"/>
  <c r="J57"/>
  <c r="G57"/>
  <c r="F57"/>
  <c r="L56"/>
  <c r="J56"/>
  <c r="G56"/>
  <c r="F56"/>
  <c r="L55"/>
  <c r="J55"/>
  <c r="G55"/>
  <c r="G95" s="1"/>
  <c r="G96" s="1"/>
  <c r="F55"/>
  <c r="L54"/>
  <c r="L98" s="1"/>
  <c r="J54"/>
  <c r="F54"/>
  <c r="F98" s="1"/>
  <c r="AH60"/>
  <c r="AH66" s="1"/>
  <c r="AH59"/>
  <c r="AH65" s="1"/>
  <c r="AH58"/>
  <c r="AH64" s="1"/>
  <c r="AH57"/>
  <c r="AI134"/>
  <c r="L37"/>
  <c r="D37"/>
  <c r="J34"/>
  <c r="G34"/>
  <c r="F34"/>
  <c r="J33"/>
  <c r="G33"/>
  <c r="F33"/>
  <c r="G32"/>
  <c r="F32"/>
  <c r="D29"/>
  <c r="G26"/>
  <c r="F26"/>
  <c r="J25"/>
  <c r="G25"/>
  <c r="F25"/>
  <c r="L24"/>
  <c r="L29" s="1"/>
  <c r="G24"/>
  <c r="F24"/>
  <c r="AI155"/>
  <c r="G23"/>
  <c r="F23"/>
  <c r="L20"/>
  <c r="D20"/>
  <c r="G18"/>
  <c r="F18"/>
  <c r="J16"/>
  <c r="G16"/>
  <c r="F16"/>
  <c r="V13"/>
  <c r="AI126" s="1"/>
  <c r="T13"/>
  <c r="AI147" s="1"/>
  <c r="M91" l="1"/>
  <c r="F20"/>
  <c r="F29"/>
  <c r="M34"/>
  <c r="G37"/>
  <c r="M25"/>
  <c r="M67"/>
  <c r="M68"/>
  <c r="M69"/>
  <c r="M71"/>
  <c r="M73"/>
  <c r="M75"/>
  <c r="M77"/>
  <c r="M79"/>
  <c r="M80"/>
  <c r="M81"/>
  <c r="M87"/>
  <c r="M89"/>
  <c r="M83"/>
  <c r="M33"/>
  <c r="M88"/>
  <c r="U68"/>
  <c r="T68" s="1"/>
  <c r="U66"/>
  <c r="T66" s="1"/>
  <c r="AH63"/>
  <c r="AJ63" s="1"/>
  <c r="AJ57"/>
  <c r="G20"/>
  <c r="G29"/>
  <c r="F37"/>
  <c r="M65"/>
  <c r="M86"/>
  <c r="M90"/>
  <c r="U65"/>
  <c r="T65" s="1"/>
  <c r="U67"/>
  <c r="T67" s="1"/>
  <c r="AI60"/>
  <c r="AI58"/>
  <c r="AI59"/>
  <c r="J95"/>
  <c r="J96" s="1"/>
  <c r="M96" s="1"/>
  <c r="M63"/>
  <c r="M64"/>
  <c r="M72"/>
  <c r="M76"/>
  <c r="M16"/>
  <c r="J98"/>
  <c r="T89" s="1"/>
  <c r="G40"/>
  <c r="AI84"/>
  <c r="AI83"/>
  <c r="AI82"/>
  <c r="M54"/>
  <c r="M55"/>
  <c r="M56"/>
  <c r="M57"/>
  <c r="M58"/>
  <c r="M59"/>
  <c r="M60"/>
  <c r="M61"/>
  <c r="M62"/>
  <c r="M66"/>
  <c r="M70"/>
  <c r="M74"/>
  <c r="M78"/>
  <c r="M82"/>
  <c r="M84"/>
  <c r="M85"/>
  <c r="M93"/>
  <c r="J18"/>
  <c r="M18" s="1"/>
  <c r="J23"/>
  <c r="J24"/>
  <c r="M24" s="1"/>
  <c r="J32"/>
  <c r="J26"/>
  <c r="M26" s="1"/>
  <c r="M20" l="1"/>
  <c r="AH83"/>
  <c r="AH91" s="1"/>
  <c r="AH84"/>
  <c r="AH92" s="1"/>
  <c r="AH81"/>
  <c r="AH82"/>
  <c r="AH90" s="1"/>
  <c r="AJ59"/>
  <c r="AI65"/>
  <c r="AJ65" s="1"/>
  <c r="AJ60"/>
  <c r="AI66"/>
  <c r="AJ66" s="1"/>
  <c r="AJ58"/>
  <c r="AI64"/>
  <c r="AJ64" s="1"/>
  <c r="J37"/>
  <c r="M32"/>
  <c r="AI90"/>
  <c r="AJ90" s="1"/>
  <c r="AJ82"/>
  <c r="AI92"/>
  <c r="AJ92" s="1"/>
  <c r="AJ84"/>
  <c r="J20"/>
  <c r="J29"/>
  <c r="M23"/>
  <c r="AJ83"/>
  <c r="AI91"/>
  <c r="AJ91" s="1"/>
  <c r="M95"/>
  <c r="M98" s="1"/>
  <c r="S20"/>
  <c r="S29" l="1"/>
  <c r="M29"/>
  <c r="S37"/>
  <c r="M37"/>
  <c r="AH155"/>
  <c r="AH157"/>
  <c r="AH156"/>
  <c r="AH158"/>
  <c r="AH147"/>
  <c r="AH148"/>
  <c r="AH149"/>
  <c r="AH89"/>
  <c r="AJ89" s="1"/>
  <c r="AJ81"/>
  <c r="AH150"/>
  <c r="AI21"/>
  <c r="AJ10"/>
  <c r="AI22"/>
  <c r="AJ11"/>
  <c r="AI23"/>
  <c r="AJ12"/>
  <c r="U89"/>
  <c r="AJ147"/>
  <c r="T93"/>
  <c r="S21" s="1"/>
  <c r="T21" s="1"/>
  <c r="AJ155"/>
  <c r="T37"/>
  <c r="Z17" s="1"/>
  <c r="T29"/>
  <c r="Z15" s="1"/>
  <c r="U20"/>
  <c r="T20"/>
  <c r="Z13" s="1"/>
  <c r="U29"/>
  <c r="U37"/>
  <c r="S38" l="1"/>
  <c r="L21"/>
  <c r="AH137"/>
  <c r="AH135"/>
  <c r="AH136"/>
  <c r="AH134"/>
  <c r="AH129"/>
  <c r="AH128"/>
  <c r="AH127"/>
  <c r="AH126"/>
  <c r="S30"/>
  <c r="T30" s="1"/>
  <c r="AI37"/>
  <c r="AI30"/>
  <c r="AJ30" s="1"/>
  <c r="AI36"/>
  <c r="AI29"/>
  <c r="AJ29" s="1"/>
  <c r="AI35"/>
  <c r="AI28"/>
  <c r="AJ28" s="1"/>
  <c r="AC13"/>
  <c r="AI156" s="1"/>
  <c r="AJ156" s="1"/>
  <c r="AI148"/>
  <c r="AJ148" s="1"/>
  <c r="U93"/>
  <c r="U21" s="1"/>
  <c r="AJ126"/>
  <c r="V89"/>
  <c r="AJ134"/>
  <c r="W37"/>
  <c r="W29"/>
  <c r="AA13"/>
  <c r="V37"/>
  <c r="AA17" s="1"/>
  <c r="V29"/>
  <c r="AA15" s="1"/>
  <c r="W20"/>
  <c r="V20"/>
  <c r="AH119" l="1"/>
  <c r="AH117"/>
  <c r="AH118"/>
  <c r="AH116"/>
  <c r="AJ116" s="1"/>
  <c r="AH109"/>
  <c r="AH108"/>
  <c r="AH111"/>
  <c r="AH110"/>
  <c r="U38"/>
  <c r="U30"/>
  <c r="X20"/>
  <c r="T38"/>
  <c r="AI149"/>
  <c r="AJ149" s="1"/>
  <c r="AC15"/>
  <c r="AI157" s="1"/>
  <c r="AJ157" s="1"/>
  <c r="V93"/>
  <c r="W21" s="1"/>
  <c r="X21" s="1"/>
  <c r="AJ108"/>
  <c r="V21"/>
  <c r="AI109" l="1"/>
  <c r="AE13"/>
  <c r="AI117" s="1"/>
  <c r="W30"/>
  <c r="X30" s="1"/>
  <c r="W38"/>
  <c r="V30"/>
  <c r="AD13"/>
  <c r="AI135" s="1"/>
  <c r="AJ135" s="1"/>
  <c r="AI127"/>
  <c r="AJ127" s="1"/>
  <c r="AC17"/>
  <c r="AI158" s="1"/>
  <c r="AJ158" s="1"/>
  <c r="AI150"/>
  <c r="AJ150" s="1"/>
  <c r="AJ109"/>
  <c r="AB13"/>
  <c r="AJ117" s="1"/>
  <c r="X29"/>
  <c r="AE15" l="1"/>
  <c r="AI118" s="1"/>
  <c r="AI110"/>
  <c r="X38"/>
  <c r="AE17" s="1"/>
  <c r="AI119" s="1"/>
  <c r="V38"/>
  <c r="AD15"/>
  <c r="AI136" s="1"/>
  <c r="AJ136" s="1"/>
  <c r="AI128"/>
  <c r="AJ128" s="1"/>
  <c r="AB15"/>
  <c r="AJ118" s="1"/>
  <c r="X37"/>
  <c r="AJ110"/>
  <c r="D25" i="6"/>
  <c r="D24"/>
  <c r="D23"/>
  <c r="D22"/>
  <c r="D21"/>
  <c r="D20"/>
  <c r="D19"/>
  <c r="D18"/>
  <c r="D17"/>
  <c r="D16"/>
  <c r="D15"/>
  <c r="D14"/>
  <c r="D13"/>
  <c r="D12"/>
  <c r="D11"/>
  <c r="D10"/>
  <c r="D9"/>
  <c r="D8"/>
  <c r="D7"/>
  <c r="D6"/>
  <c r="D5"/>
  <c r="AI111" i="13" l="1"/>
  <c r="AJ111" s="1"/>
  <c r="AB17"/>
  <c r="AJ119" s="1"/>
  <c r="AD17"/>
  <c r="AI137" s="1"/>
  <c r="AJ137" s="1"/>
  <c r="AI129"/>
  <c r="AJ129" s="1"/>
</calcChain>
</file>

<file path=xl/sharedStrings.xml><?xml version="1.0" encoding="utf-8"?>
<sst xmlns="http://schemas.openxmlformats.org/spreadsheetml/2006/main" count="469" uniqueCount="332">
  <si>
    <t>optie 0</t>
  </si>
  <si>
    <t>optie 2</t>
  </si>
  <si>
    <t>optie 3</t>
  </si>
  <si>
    <t xml:space="preserve">kg/ m2 </t>
  </si>
  <si>
    <t>optie 1</t>
  </si>
  <si>
    <t>kWh</t>
  </si>
  <si>
    <t>Copper</t>
  </si>
  <si>
    <t>HDPE</t>
  </si>
  <si>
    <t>LDPE</t>
  </si>
  <si>
    <t>PV panelen</t>
  </si>
  <si>
    <t>kg/m2</t>
  </si>
  <si>
    <t>Aluminium</t>
  </si>
  <si>
    <t>Glass</t>
  </si>
  <si>
    <t>Tedlar</t>
  </si>
  <si>
    <t>Plastic</t>
  </si>
  <si>
    <t>m2 PV</t>
  </si>
  <si>
    <t>59,8</t>
  </si>
  <si>
    <t>21,8</t>
  </si>
  <si>
    <t>18,2</t>
  </si>
  <si>
    <t>16,7</t>
  </si>
  <si>
    <t>95% houtvezels en</t>
  </si>
  <si>
    <t xml:space="preserve"> 5% latex-emulsie</t>
  </si>
  <si>
    <t xml:space="preserve">pavatex </t>
  </si>
  <si>
    <t>multiplex</t>
  </si>
  <si>
    <t>stucwerk</t>
  </si>
  <si>
    <t>ker pannen</t>
  </si>
  <si>
    <t>hout</t>
  </si>
  <si>
    <t>pavatex</t>
  </si>
  <si>
    <t>primair</t>
  </si>
  <si>
    <t>gordingen</t>
  </si>
  <si>
    <t>kg</t>
  </si>
  <si>
    <t>PV</t>
  </si>
  <si>
    <t>ER spec</t>
  </si>
  <si>
    <t>materiaal pakketten</t>
  </si>
  <si>
    <t>MJ/kg</t>
  </si>
  <si>
    <t>m2jaar/kg</t>
  </si>
  <si>
    <t>totaal</t>
  </si>
  <si>
    <t>subtot</t>
  </si>
  <si>
    <t>tot ex er</t>
  </si>
  <si>
    <t>tot cum</t>
  </si>
  <si>
    <t>subtotalen</t>
  </si>
  <si>
    <t>ex alu</t>
  </si>
  <si>
    <t>m2jaar</t>
  </si>
  <si>
    <t>pv plus er ex alu</t>
  </si>
  <si>
    <t>combi</t>
  </si>
  <si>
    <t>x 2  /50</t>
  </si>
  <si>
    <t>50j</t>
  </si>
  <si>
    <t>x2 /50</t>
  </si>
  <si>
    <t>tot per mat</t>
  </si>
  <si>
    <t>emb energy</t>
  </si>
  <si>
    <t>per m2</t>
  </si>
  <si>
    <t>ex re 50jaar</t>
  </si>
  <si>
    <t>ex er ex pr</t>
  </si>
  <si>
    <t>EL50 incl re ex alu</t>
  </si>
  <si>
    <t xml:space="preserve"> </t>
  </si>
  <si>
    <t>zonnecellen</t>
  </si>
  <si>
    <t>isolatiepakketten</t>
  </si>
  <si>
    <t>?</t>
  </si>
  <si>
    <t>per m2 50j:</t>
  </si>
  <si>
    <t xml:space="preserve">tot ex er </t>
  </si>
  <si>
    <t>50 jaar cumulatief</t>
  </si>
  <si>
    <t>Ethyl vinyl acetate</t>
  </si>
  <si>
    <t>tin</t>
  </si>
  <si>
    <t>lood</t>
  </si>
  <si>
    <t>silicone</t>
  </si>
  <si>
    <t>nikkel</t>
  </si>
  <si>
    <t>silicone kit</t>
  </si>
  <si>
    <t>polyphenyloxide</t>
  </si>
  <si>
    <t>back foil/tedlar</t>
  </si>
  <si>
    <t>alu</t>
  </si>
  <si>
    <t>soldeer (tin)</t>
  </si>
  <si>
    <t>only EE</t>
  </si>
  <si>
    <t>MJ/m2</t>
  </si>
  <si>
    <t>tot</t>
  </si>
  <si>
    <t>EL</t>
  </si>
  <si>
    <t>per mat</t>
  </si>
  <si>
    <t>totaal opties</t>
  </si>
  <si>
    <t>ex ER</t>
  </si>
  <si>
    <t>only EL from EE</t>
  </si>
  <si>
    <t>EE in energie</t>
  </si>
  <si>
    <t xml:space="preserve">Life Cycle Assessment of the 33 kW </t>
  </si>
  <si>
    <t xml:space="preserve">Photovoltaic System on the Dana Building </t>
  </si>
  <si>
    <t>at the University of Michigan:</t>
  </si>
  <si>
    <t xml:space="preserve">Thin Film Laminates, Multi-crystalline Modules, and Balance of </t>
  </si>
  <si>
    <t>System Components</t>
  </si>
  <si>
    <t xml:space="preserve">doc </t>
  </si>
  <si>
    <t>CSS05-09</t>
  </si>
  <si>
    <t xml:space="preserve">Hydrogen </t>
  </si>
  <si>
    <t>Monosilane</t>
  </si>
  <si>
    <t xml:space="preserve">Oxygen  </t>
  </si>
  <si>
    <t xml:space="preserve">Phosphine </t>
  </si>
  <si>
    <t>rubber</t>
  </si>
  <si>
    <t>a-Si paneel</t>
  </si>
  <si>
    <t>ex BOS</t>
  </si>
  <si>
    <t>aluminium</t>
  </si>
  <si>
    <t>steel</t>
  </si>
  <si>
    <t>Tefzel EFTE</t>
  </si>
  <si>
    <t>glassfiber</t>
  </si>
  <si>
    <t>PE</t>
  </si>
  <si>
    <t>polyvinylfluoride</t>
  </si>
  <si>
    <t>tedlar</t>
  </si>
  <si>
    <t>argon</t>
  </si>
  <si>
    <t>acid</t>
  </si>
  <si>
    <t>sodium h.</t>
  </si>
  <si>
    <t>sulf. Acid</t>
  </si>
  <si>
    <t>glass</t>
  </si>
  <si>
    <t>copper</t>
  </si>
  <si>
    <t>plyester</t>
  </si>
  <si>
    <t>ammonia</t>
  </si>
  <si>
    <t>nitrogen</t>
  </si>
  <si>
    <t>charcoal</t>
  </si>
  <si>
    <t>coal</t>
  </si>
  <si>
    <t>coke</t>
  </si>
  <si>
    <t>wood</t>
  </si>
  <si>
    <t>sil crbide</t>
  </si>
  <si>
    <t>silicon</t>
  </si>
  <si>
    <t>process energy</t>
  </si>
  <si>
    <t>per paneel</t>
  </si>
  <si>
    <t>gew kg</t>
  </si>
  <si>
    <t>frame</t>
  </si>
  <si>
    <t>hydro fl acid</t>
  </si>
  <si>
    <t>sul acid</t>
  </si>
  <si>
    <t>polyester</t>
  </si>
  <si>
    <t>Nitrogen</t>
  </si>
  <si>
    <t>silicium carbide</t>
  </si>
  <si>
    <t>proces energie</t>
  </si>
  <si>
    <t>tot emb energy</t>
  </si>
  <si>
    <t>ex</t>
  </si>
  <si>
    <t>return energy</t>
  </si>
  <si>
    <t>MJ</t>
  </si>
  <si>
    <t>knik komt door introductie pleister-minerale bron in isolatiepakket 2, met grote EL</t>
  </si>
  <si>
    <t xml:space="preserve">kan dta ook nog eens met rabatdelen doorrekenen </t>
  </si>
  <si>
    <t>niet relevant omdat we uitgaan van impactloze beschikbaarheid fossiel</t>
  </si>
  <si>
    <t>abs e</t>
  </si>
  <si>
    <t>feitelijk ook gas terugrekenen naar zon</t>
  </si>
  <si>
    <t>abs e /j</t>
  </si>
  <si>
    <t>het werkelijke verbruik per jaar afgezet tegen de ee per jaar over 50 jaar</t>
  </si>
  <si>
    <t>Ha, zie 8: eigenlijk wordt ds fout vergeleken met klassieke manier….</t>
  </si>
  <si>
    <t>in kWh</t>
  </si>
  <si>
    <t>in MJ</t>
  </si>
  <si>
    <t>ee/100j</t>
  </si>
  <si>
    <t xml:space="preserve">cumulatief massa: </t>
  </si>
  <si>
    <t>cardboard/wood</t>
  </si>
  <si>
    <t>option 0</t>
  </si>
  <si>
    <t>option 1</t>
  </si>
  <si>
    <t>option 2</t>
  </si>
  <si>
    <t>option 3</t>
  </si>
  <si>
    <t>insulation</t>
  </si>
  <si>
    <t>ins.</t>
  </si>
  <si>
    <t xml:space="preserve">m2 panel </t>
  </si>
  <si>
    <t>incl storage</t>
  </si>
  <si>
    <t>Prmary material Land</t>
  </si>
  <si>
    <t>De centrale zal het hoogste rendement tot nu kennen, namelijk 46%.</t>
  </si>
  <si>
    <t xml:space="preserve">De huidige centrales in Nederland hebben een gemiddeld rendement van 36%. </t>
  </si>
  <si>
    <t>http://www.essent.nl/content/overessent/actueel/werkinuitvoering/centrale_eemshaven/index.html#</t>
  </si>
  <si>
    <t>6 kWh per Kg</t>
  </si>
  <si>
    <t>ftp://ftp.pavatex.ch/English/Presentation/120625-Presentation%20of%20PAVATEX%20for%20OSEC.pdf</t>
  </si>
  <si>
    <t xml:space="preserve">gemiddeld rendement e-centrales ecn 2012: 42,5 </t>
  </si>
  <si>
    <t>e savings/year</t>
  </si>
  <si>
    <t>ee investment tot.</t>
  </si>
  <si>
    <t>payback time year</t>
  </si>
  <si>
    <t>option  1</t>
  </si>
  <si>
    <t>abs e /year</t>
  </si>
  <si>
    <t>ee/50year</t>
  </si>
  <si>
    <r>
      <t xml:space="preserve">PV data </t>
    </r>
    <r>
      <rPr>
        <b/>
        <sz val="8"/>
        <color rgb="FFFF0000"/>
        <rFont val="Calibri"/>
        <family val="2"/>
        <scheme val="minor"/>
      </rPr>
      <t>MJ</t>
    </r>
  </si>
  <si>
    <r>
      <t xml:space="preserve">totalen </t>
    </r>
    <r>
      <rPr>
        <b/>
        <sz val="8"/>
        <color rgb="FFFF0000"/>
        <rFont val="Calibri"/>
        <family val="2"/>
        <scheme val="minor"/>
      </rPr>
      <t>MJ</t>
    </r>
  </si>
  <si>
    <t>1 m2 berekening</t>
  </si>
  <si>
    <t>year</t>
  </si>
  <si>
    <t xml:space="preserve">a x  kWh/m2 </t>
  </si>
  <si>
    <t>demand prim.</t>
  </si>
  <si>
    <t>e savings</t>
  </si>
  <si>
    <t>per year</t>
  </si>
  <si>
    <t>e-plant.  46%</t>
  </si>
  <si>
    <t>efficiency e-production</t>
  </si>
  <si>
    <t>%</t>
  </si>
  <si>
    <t>energie cijfers, omrekeningen, m2 paneel etc</t>
  </si>
  <si>
    <t xml:space="preserve">ECN 2012: </t>
  </si>
  <si>
    <t>by electr plants NL *</t>
  </si>
  <si>
    <t>*</t>
  </si>
  <si>
    <t>no action/insulation</t>
  </si>
  <si>
    <t>totals</t>
  </si>
  <si>
    <r>
      <t xml:space="preserve">PV data </t>
    </r>
    <r>
      <rPr>
        <b/>
        <sz val="8"/>
        <color rgb="FFFF0000"/>
        <rFont val="Calibri"/>
        <family val="2"/>
        <scheme val="minor"/>
      </rPr>
      <t>EL</t>
    </r>
  </si>
  <si>
    <r>
      <t xml:space="preserve">isol data </t>
    </r>
    <r>
      <rPr>
        <b/>
        <sz val="8"/>
        <color rgb="FFFF0000"/>
        <rFont val="Calibri"/>
        <family val="2"/>
        <scheme val="minor"/>
      </rPr>
      <t>EL</t>
    </r>
  </si>
  <si>
    <r>
      <t xml:space="preserve">totalen </t>
    </r>
    <r>
      <rPr>
        <b/>
        <sz val="8"/>
        <color rgb="FFFF0000"/>
        <rFont val="Calibri"/>
        <family val="2"/>
        <scheme val="minor"/>
      </rPr>
      <t>EL</t>
    </r>
  </si>
  <si>
    <t>incl pannel m2</t>
  </si>
  <si>
    <t>combi with insul</t>
  </si>
  <si>
    <t>total</t>
  </si>
  <si>
    <t>insul.</t>
  </si>
  <si>
    <r>
      <t xml:space="preserve">ins data </t>
    </r>
    <r>
      <rPr>
        <b/>
        <sz val="8"/>
        <color rgb="FFFF0000"/>
        <rFont val="Calibri"/>
        <family val="2"/>
        <scheme val="minor"/>
      </rPr>
      <t>MJ</t>
    </r>
  </si>
  <si>
    <t>ee ins.</t>
  </si>
  <si>
    <t>zonder paneelimpact</t>
  </si>
  <si>
    <t>met paneelimpact</t>
  </si>
  <si>
    <t xml:space="preserve">only EL </t>
  </si>
  <si>
    <t>from EE</t>
  </si>
  <si>
    <t>tot 50year</t>
  </si>
  <si>
    <t>m2 year</t>
  </si>
  <si>
    <t>totals per option</t>
  </si>
  <si>
    <t>only mat</t>
  </si>
  <si>
    <t>incl PI</t>
  </si>
  <si>
    <t>cum.</t>
  </si>
  <si>
    <t>cumulative</t>
  </si>
  <si>
    <t>per option</t>
  </si>
  <si>
    <t>EE tot</t>
  </si>
  <si>
    <t>only</t>
  </si>
  <si>
    <t>m2year</t>
  </si>
  <si>
    <t>m2year/kg</t>
  </si>
  <si>
    <t xml:space="preserve">Emb Land  </t>
  </si>
  <si>
    <t>Emb Land</t>
  </si>
  <si>
    <t>Emb land</t>
  </si>
  <si>
    <t>EE/kg</t>
  </si>
  <si>
    <t>EL spec</t>
  </si>
  <si>
    <t>primary</t>
  </si>
  <si>
    <t>El spec</t>
  </si>
  <si>
    <t>EE  /mat</t>
  </si>
  <si>
    <t>Embodied Energy EL</t>
  </si>
  <si>
    <t>Return Energy EL</t>
  </si>
  <si>
    <t>tot EE in MJ</t>
  </si>
  <si>
    <t>EL-EE</t>
  </si>
  <si>
    <t>EL-ER</t>
  </si>
  <si>
    <t>EL-prim</t>
  </si>
  <si>
    <t xml:space="preserve">grafiek tabel 1 (A) </t>
  </si>
  <si>
    <t>grafiek tabel 1b;: 50j niet relevant</t>
  </si>
  <si>
    <t>graf 2a</t>
  </si>
  <si>
    <t>graf 2B2</t>
  </si>
  <si>
    <t>graf  2B1</t>
  </si>
  <si>
    <t>graph 3B 50j</t>
  </si>
  <si>
    <t>graph 3A</t>
  </si>
  <si>
    <t>without storage correcties</t>
  </si>
  <si>
    <t>with storage</t>
  </si>
  <si>
    <t xml:space="preserve">graph 4A:  only EE  tot ( MJ) </t>
  </si>
  <si>
    <t>graph 4B per 50 year</t>
  </si>
  <si>
    <t>graph 5B as 5A, per 50 year</t>
  </si>
  <si>
    <t>graph 6B as 6A per 50 year</t>
  </si>
  <si>
    <t>graf 7B  as 7A, per 50 year</t>
  </si>
  <si>
    <t>graph 7A</t>
  </si>
  <si>
    <t>is end use demand</t>
  </si>
  <si>
    <t>m2 panel</t>
  </si>
  <si>
    <t>yield/year</t>
  </si>
  <si>
    <t>Reducing energy demand , or producing more energy?</t>
  </si>
  <si>
    <t>The role/impact  of materials in (near) 0-energy building &amp; renovation</t>
  </si>
  <si>
    <t>reading help</t>
  </si>
  <si>
    <t>RiBuilT Research</t>
  </si>
  <si>
    <t>Research Institite Built environment of Tomorrow</t>
  </si>
  <si>
    <t>Zuyd University Heerlen, Netherlands</t>
  </si>
  <si>
    <t>R.Rovers</t>
  </si>
  <si>
    <t>M.Ritzen</t>
  </si>
  <si>
    <t>L.Gommans</t>
  </si>
  <si>
    <t>february 2013</t>
  </si>
  <si>
    <t>r.rovers@ribuilt.eu</t>
  </si>
  <si>
    <t>life expectation PV panel:</t>
  </si>
  <si>
    <t>EL only EE</t>
  </si>
  <si>
    <t>per m2 pannel</t>
  </si>
  <si>
    <t>TOTALS</t>
  </si>
  <si>
    <t>subtotaal kg/m2</t>
  </si>
  <si>
    <t>is panel impact! (the panel itself also requires  1 m2 space!)</t>
  </si>
  <si>
    <t>conversion techn.</t>
  </si>
  <si>
    <t>yield/m2year</t>
  </si>
  <si>
    <t>mat EL</t>
  </si>
  <si>
    <t>proces EL</t>
  </si>
  <si>
    <t>tot. EL</t>
  </si>
  <si>
    <t>Emb.energy</t>
  </si>
  <si>
    <t>Return E.</t>
  </si>
  <si>
    <t>control</t>
  </si>
  <si>
    <t>(U57)</t>
  </si>
  <si>
    <t>kWh/m2year</t>
  </si>
  <si>
    <t>MJ/m2year</t>
  </si>
  <si>
    <t>Panel Impact PI</t>
  </si>
  <si>
    <t>end use d.</t>
  </si>
  <si>
    <t>Red data are fields filled in.</t>
  </si>
  <si>
    <t xml:space="preserve">1 the calculation for the insulation packages:  prime material land: the Embodied land by growing or mining resources. Data from different sources, mainly collected in our own material database. </t>
  </si>
  <si>
    <t>Embodied energy: in MJ in the left column ( dark grey) , right columns for calc in  Embodied land: the land is calculated as if the embodied energy has to be produced by PV panels.</t>
  </si>
  <si>
    <t>Return energy: only for the mineral plasterwork: dat from our own materials set: the yielding of gypsum from seawater evaporation beds.</t>
  </si>
  <si>
    <t xml:space="preserve">2 calculation of EL totals: in grey: without including the PV panel materials Impact PI,  in yellow tints including the PI. For the EL calculations the PI impact data are used. </t>
  </si>
  <si>
    <t>3 the same data but averaged for 50 years</t>
  </si>
  <si>
    <t>4 The PV panel calculation: as in 1: but per m2 panel.  Regarding embodied energy: the materials are separately calculated, but for the final calculations we used the total embodied energy figure averaged from  Alsema and de Wild . (3050)</t>
  </si>
  <si>
    <t>5 the calculations of EL totals: top total, lower series averaged over 50 years, still for 1 m2 panel: This is the materials impact, not the actual m2 to generate energy, in some cases this should be added!</t>
  </si>
  <si>
    <t xml:space="preserve">6 some generic used data about the panel used, and the electricity production in NL. </t>
  </si>
  <si>
    <t>7 the energy calculations for the 4 insulation level options: starting from the bold given column. To the right the calculations for the classic way of evaluation:  total demands in primary energy and yearly savings per option. To the left the calculation of actual to be installed panels, without and with storage correction ( storage:  only 25% is used directly, 25 % for day night storage, 50 pct for seasonal storage via hydrogen 2x 07 conversion efficiency).</t>
  </si>
  <si>
    <t>8-14 the results tables: see the report for a explanation, here some details to understand  the calculations are given</t>
  </si>
  <si>
    <t xml:space="preserve">8-9  the classic ways in MJ, </t>
  </si>
  <si>
    <t>10-14: supposing a 0-energy house: alle energy is not primary from the grid, but produced on site from PV panels. The actual calculations is only relating to the materials impact: the energy(production) is inclusive inn the materials investment( the materials produce energy as a by-product, so to say)</t>
  </si>
  <si>
    <t>10-11: in MJ</t>
  </si>
  <si>
    <t>12-14  in EL (m2year):  only table 14 is the right calculation. The others are to illustrate the process towards the full embodied land calculation</t>
  </si>
  <si>
    <t xml:space="preserve">8: graph/table 1: savings from 7, e-investment form Emb energy insulation options (dark grey in  1) </t>
  </si>
  <si>
    <t>9 graph 2: similar, but not the energy savings, but the remaining absolute energy demand ( in primary MJ). Now it can be added up, to see what is the best combination. 2B1 averaged over 50 years, 2B2 over 100 years</t>
  </si>
  <si>
    <t>10: graph 3 : compare the materials impact from PV with that of the insulation packages., for only embodied energy in MJ. Increasing investment from insulation, decreasing impacts from PV panels. 3B averaged over 50 years ( change panels after 25 years)</t>
  </si>
  <si>
    <t>11 graph 4: similar as 10, however now extra PV panels are taken into account for storage losses.</t>
  </si>
  <si>
    <t>12 graph 5: This is the comparison of (only) Embodied energy recalculated for  Embodied land calculations ( as if produced by x m2 PV, in m2year) (and including extra panels for storage compensation.</t>
  </si>
  <si>
    <t xml:space="preserve"> It’s the m2 panels (installed)plus the same amount  times the EL from  5(for only EE) for their production and materials EL  .  Graph 5 B: averaged over 50 years.</t>
  </si>
  <si>
    <t>13 graph 6: similar as 12, now including primary materials impacts ( harvesting and mining m2’s). 6 B over 50 years</t>
  </si>
  <si>
    <t>14 graph 7: similar as 13, now including everything, also the embodied land for return energy: the energy ( in m2 PV land) to re-gather metal ions for instance to compensate depletion.</t>
  </si>
  <si>
    <t>2006, Sergio Pacca, Deepak Sivaraman and Gregory A. Keoleian</t>
  </si>
  <si>
    <t>source</t>
  </si>
  <si>
    <t>panel:</t>
  </si>
  <si>
    <t>m2</t>
  </si>
  <si>
    <t xml:space="preserve">materials data used, </t>
  </si>
  <si>
    <t>total embodied enegry from</t>
  </si>
  <si>
    <t>Alsema and De Wild, 2007</t>
  </si>
  <si>
    <t>insulation between floor beams ground floor 160 mm pavatex diffutherm</t>
  </si>
  <si>
    <t>ins. Between floor beams ground floor with Pavatex diffutherm 160 mm</t>
  </si>
  <si>
    <t xml:space="preserve">option 2 </t>
  </si>
  <si>
    <t>ground floor</t>
  </si>
  <si>
    <t>facades</t>
  </si>
  <si>
    <t>roof</t>
  </si>
  <si>
    <t>Energie demand (kWh) space heating</t>
  </si>
  <si>
    <t>insulation between roof beams with pavaflex 160 mm</t>
  </si>
  <si>
    <t>wood finish roof inside with 18 mm multiplex</t>
  </si>
  <si>
    <t>Total added mass option 2 total for house</t>
  </si>
  <si>
    <t>Total added mass option 1 total for house</t>
  </si>
  <si>
    <t>Total added mass option 3 total for house</t>
  </si>
  <si>
    <t>filling cavity wall 40 mm with  pavaflex</t>
  </si>
  <si>
    <t>external insulation façade with 100 mm pavatex diffutherm</t>
  </si>
  <si>
    <t>Unger diffutherm plasterworks facade</t>
  </si>
  <si>
    <t>external insulation 52 mm pavatex isolair replacing roof cover</t>
  </si>
  <si>
    <t>extra row roof tiles</t>
  </si>
  <si>
    <t>Extra wood beam</t>
  </si>
  <si>
    <t xml:space="preserve">insulation under floor beams 52 mm pavatex isolair </t>
  </si>
  <si>
    <t xml:space="preserve">additional extarnal insulation façade  140 mm pavaflex </t>
  </si>
  <si>
    <t>support construction wooden poles 38x140 mm, hoh 600 mm</t>
  </si>
  <si>
    <t xml:space="preserve">additional insulation on roof 140 mm </t>
  </si>
  <si>
    <t>support construction  beams  38x140 mm, hoh 600</t>
  </si>
  <si>
    <t>The 4 insulation level packages and their maetrial input</t>
  </si>
  <si>
    <t>no measures</t>
  </si>
  <si>
    <t>totaal m2/m2 paneel</t>
  </si>
  <si>
    <t>on the basis of primary energy, not solar panels</t>
  </si>
  <si>
    <t>tabel:saved energy and emb energy</t>
  </si>
  <si>
    <t>absolute demand (prim) versus emb energy</t>
  </si>
  <si>
    <t>as 2a, ee averaged over 50 year</t>
  </si>
  <si>
    <t>2a, ee averaged over 100 year</t>
  </si>
  <si>
    <t>graph 5A : only  EL from EE</t>
  </si>
  <si>
    <t>graph 6A EL  from EE and Prim mat.</t>
  </si>
  <si>
    <t>EL total:  prim. +EE  + ER</t>
  </si>
</sst>
</file>

<file path=xl/styles.xml><?xml version="1.0" encoding="utf-8"?>
<styleSheet xmlns="http://schemas.openxmlformats.org/spreadsheetml/2006/main">
  <numFmts count="3">
    <numFmt numFmtId="164" formatCode="0.000"/>
    <numFmt numFmtId="165" formatCode="0.0000"/>
    <numFmt numFmtId="166" formatCode="0.0"/>
  </numFmts>
  <fonts count="31">
    <font>
      <sz val="11"/>
      <color theme="1"/>
      <name val="Calibri"/>
      <family val="2"/>
      <scheme val="minor"/>
    </font>
    <font>
      <b/>
      <sz val="11"/>
      <color theme="1"/>
      <name val="Calibri"/>
      <family val="2"/>
      <scheme val="minor"/>
    </font>
    <font>
      <sz val="9"/>
      <color theme="1"/>
      <name val="Arial"/>
      <family val="2"/>
    </font>
    <font>
      <i/>
      <sz val="9"/>
      <color theme="1"/>
      <name val="Arial"/>
      <family val="2"/>
    </font>
    <font>
      <sz val="10"/>
      <color rgb="FF000000"/>
      <name val="Calibri"/>
      <family val="2"/>
    </font>
    <font>
      <b/>
      <sz val="9"/>
      <color theme="1"/>
      <name val="Arial"/>
      <family val="2"/>
    </font>
    <font>
      <sz val="9"/>
      <color rgb="FF000000"/>
      <name val="Arial"/>
      <family val="2"/>
    </font>
    <font>
      <sz val="10"/>
      <color theme="1"/>
      <name val="Arial"/>
      <family val="2"/>
    </font>
    <font>
      <b/>
      <i/>
      <sz val="10"/>
      <color theme="1"/>
      <name val="Arial"/>
      <family val="2"/>
    </font>
    <font>
      <sz val="12"/>
      <color theme="1"/>
      <name val="Times New Roman"/>
      <family val="1"/>
    </font>
    <font>
      <i/>
      <sz val="10"/>
      <color theme="1"/>
      <name val="Arial"/>
      <family val="2"/>
    </font>
    <font>
      <sz val="9"/>
      <color rgb="FFFF0000"/>
      <name val="Arial"/>
      <family val="2"/>
    </font>
    <font>
      <sz val="11"/>
      <color rgb="FFFF0000"/>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8"/>
      <color rgb="FF000000"/>
      <name val="Arial"/>
      <family val="2"/>
    </font>
    <font>
      <sz val="8"/>
      <color theme="1"/>
      <name val="Arial"/>
      <family val="2"/>
    </font>
    <font>
      <sz val="8"/>
      <color rgb="FF000000"/>
      <name val="Arial"/>
      <family val="2"/>
    </font>
    <font>
      <i/>
      <sz val="8"/>
      <color theme="1"/>
      <name val="Arial"/>
      <family val="2"/>
    </font>
    <font>
      <sz val="8"/>
      <color theme="1"/>
      <name val="Times New Roman"/>
      <family val="1"/>
    </font>
    <font>
      <sz val="8"/>
      <color rgb="FFFF0000"/>
      <name val="Arial"/>
      <family val="2"/>
    </font>
    <font>
      <b/>
      <sz val="8"/>
      <color theme="1"/>
      <name val="Calibri"/>
      <family val="2"/>
      <scheme val="minor"/>
    </font>
    <font>
      <sz val="8"/>
      <color rgb="FFFF0000"/>
      <name val="Calibri"/>
      <family val="2"/>
      <scheme val="minor"/>
    </font>
    <font>
      <b/>
      <sz val="8"/>
      <color rgb="FFFF0000"/>
      <name val="Calibri"/>
      <family val="2"/>
      <scheme val="minor"/>
    </font>
    <font>
      <b/>
      <sz val="8"/>
      <color theme="1"/>
      <name val="Times New Roman"/>
      <family val="1"/>
    </font>
    <font>
      <sz val="9"/>
      <color theme="1"/>
      <name val="Calibri"/>
      <family val="2"/>
      <scheme val="minor"/>
    </font>
    <font>
      <b/>
      <sz val="9"/>
      <color theme="1"/>
      <name val="Calibri"/>
      <family val="2"/>
      <scheme val="minor"/>
    </font>
    <font>
      <u/>
      <sz val="11"/>
      <color theme="10"/>
      <name val="Calibri"/>
      <family val="2"/>
    </font>
    <font>
      <i/>
      <u/>
      <sz val="20"/>
      <color theme="1"/>
      <name val="Calibri"/>
      <family val="2"/>
      <scheme val="minor"/>
    </font>
    <font>
      <i/>
      <sz val="16"/>
      <color theme="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AEDF89"/>
        <bgColor indexed="64"/>
      </patternFill>
    </fill>
    <fill>
      <patternFill patternType="solid">
        <fgColor theme="2" tint="-0.249977111117893"/>
        <bgColor indexed="64"/>
      </patternFill>
    </fill>
    <fill>
      <patternFill patternType="solid">
        <fgColor rgb="FFFFC000"/>
        <bgColor indexed="64"/>
      </patternFill>
    </fill>
    <fill>
      <patternFill patternType="solid">
        <fgColor rgb="FFFFCC66"/>
        <bgColor indexed="64"/>
      </patternFill>
    </fill>
    <fill>
      <patternFill patternType="solid">
        <fgColor rgb="FFDEA900"/>
        <bgColor indexed="64"/>
      </patternFill>
    </fill>
    <fill>
      <patternFill patternType="solid">
        <fgColor rgb="FFFFDA8F"/>
        <bgColor indexed="64"/>
      </patternFill>
    </fill>
    <fill>
      <patternFill patternType="solid">
        <fgColor rgb="FFFFE9BD"/>
        <bgColor indexed="64"/>
      </patternFill>
    </fill>
    <fill>
      <patternFill patternType="solid">
        <fgColor rgb="FFFDB76B"/>
        <bgColor indexed="64"/>
      </patternFill>
    </fill>
    <fill>
      <patternFill patternType="solid">
        <fgColor rgb="FFF49E02"/>
        <bgColor indexed="64"/>
      </patternFill>
    </fill>
    <fill>
      <patternFill patternType="solid">
        <fgColor theme="2"/>
        <bgColor indexed="64"/>
      </patternFill>
    </fill>
    <fill>
      <patternFill patternType="solid">
        <fgColor theme="0" tint="-0.34998626667073579"/>
        <bgColor indexed="64"/>
      </patternFill>
    </fill>
    <fill>
      <patternFill patternType="solid">
        <fgColor theme="8" tint="0.59999389629810485"/>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28" fillId="0" borderId="0" applyNumberFormat="0" applyFill="0" applyBorder="0" applyAlignment="0" applyProtection="0">
      <alignment vertical="top"/>
      <protection locked="0"/>
    </xf>
  </cellStyleXfs>
  <cellXfs count="404">
    <xf numFmtId="0" fontId="0" fillId="0" borderId="0" xfId="0"/>
    <xf numFmtId="0" fontId="2" fillId="0" borderId="0" xfId="0" applyFont="1" applyBorder="1" applyAlignment="1">
      <alignment vertical="top" wrapText="1"/>
    </xf>
    <xf numFmtId="0" fontId="3" fillId="0" borderId="0" xfId="0" applyFont="1" applyBorder="1" applyAlignment="1">
      <alignment vertical="top" wrapText="1"/>
    </xf>
    <xf numFmtId="0" fontId="2" fillId="0" borderId="0" xfId="0" applyFont="1" applyFill="1" applyBorder="1" applyAlignment="1">
      <alignment vertical="top" wrapText="1"/>
    </xf>
    <xf numFmtId="0" fontId="0" fillId="0" borderId="0" xfId="0" applyBorder="1"/>
    <xf numFmtId="0" fontId="2" fillId="0" borderId="1" xfId="0" applyFont="1" applyBorder="1" applyAlignment="1">
      <alignment horizontal="center" vertical="top" wrapText="1"/>
    </xf>
    <xf numFmtId="0" fontId="1" fillId="0" borderId="0" xfId="0" applyFont="1"/>
    <xf numFmtId="0" fontId="0" fillId="0" borderId="0" xfId="0" applyAlignment="1">
      <alignment horizontal="center"/>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Border="1" applyAlignment="1">
      <alignment horizontal="center"/>
    </xf>
    <xf numFmtId="0" fontId="4" fillId="0" borderId="1" xfId="0" applyFont="1" applyBorder="1" applyAlignment="1">
      <alignment horizontal="center" wrapText="1"/>
    </xf>
    <xf numFmtId="0" fontId="0" fillId="0" borderId="1" xfId="0" applyBorder="1" applyAlignment="1">
      <alignment horizontal="center"/>
    </xf>
    <xf numFmtId="0" fontId="7" fillId="0" borderId="1" xfId="0" applyFont="1" applyBorder="1" applyAlignment="1">
      <alignment horizontal="center"/>
    </xf>
    <xf numFmtId="0" fontId="11" fillId="0" borderId="0" xfId="0" applyFont="1" applyBorder="1" applyAlignment="1">
      <alignment vertical="top" wrapText="1"/>
    </xf>
    <xf numFmtId="0" fontId="0" fillId="0" borderId="6" xfId="0" applyBorder="1"/>
    <xf numFmtId="0" fontId="0" fillId="0" borderId="7" xfId="0" applyBorder="1"/>
    <xf numFmtId="2" fontId="0" fillId="0" borderId="0" xfId="0" applyNumberFormat="1"/>
    <xf numFmtId="0" fontId="0" fillId="0" borderId="16" xfId="0" applyBorder="1"/>
    <xf numFmtId="0" fontId="0" fillId="0" borderId="17" xfId="0" applyBorder="1"/>
    <xf numFmtId="0" fontId="0" fillId="0" borderId="13" xfId="0" applyBorder="1"/>
    <xf numFmtId="0" fontId="0" fillId="0" borderId="15" xfId="0" applyBorder="1"/>
    <xf numFmtId="0" fontId="0" fillId="0" borderId="14" xfId="0" applyBorder="1"/>
    <xf numFmtId="0" fontId="0" fillId="0" borderId="5" xfId="0" applyBorder="1"/>
    <xf numFmtId="0" fontId="0" fillId="0" borderId="0" xfId="0" applyFill="1"/>
    <xf numFmtId="0" fontId="13" fillId="0" borderId="0" xfId="0" applyFont="1"/>
    <xf numFmtId="0" fontId="14" fillId="0" borderId="0" xfId="0" applyFont="1"/>
    <xf numFmtId="0" fontId="14" fillId="0" borderId="0" xfId="0" applyFont="1" applyBorder="1"/>
    <xf numFmtId="0" fontId="14" fillId="0" borderId="16" xfId="0" applyFont="1" applyBorder="1"/>
    <xf numFmtId="0" fontId="14" fillId="0" borderId="0" xfId="0" applyFont="1" applyFill="1" applyBorder="1"/>
    <xf numFmtId="2" fontId="14" fillId="0" borderId="0" xfId="0" applyNumberFormat="1" applyFont="1" applyFill="1" applyBorder="1"/>
    <xf numFmtId="2" fontId="14" fillId="0" borderId="0" xfId="0" applyNumberFormat="1" applyFont="1" applyBorder="1"/>
    <xf numFmtId="0" fontId="14" fillId="0" borderId="17" xfId="0" applyFont="1" applyBorder="1"/>
    <xf numFmtId="0" fontId="15" fillId="0" borderId="0" xfId="0" applyFont="1" applyBorder="1"/>
    <xf numFmtId="3" fontId="14" fillId="0" borderId="0" xfId="0" applyNumberFormat="1" applyFont="1" applyFill="1" applyBorder="1" applyAlignment="1">
      <alignment horizontal="center" vertical="top"/>
    </xf>
    <xf numFmtId="0" fontId="14" fillId="0" borderId="18" xfId="0" applyFont="1" applyBorder="1"/>
    <xf numFmtId="0" fontId="14" fillId="0" borderId="20" xfId="0" applyFont="1" applyBorder="1"/>
    <xf numFmtId="0" fontId="14" fillId="0" borderId="19" xfId="0" applyFont="1" applyBorder="1"/>
    <xf numFmtId="0" fontId="14" fillId="0" borderId="14" xfId="0" applyFont="1" applyBorder="1"/>
    <xf numFmtId="0" fontId="14" fillId="0" borderId="15" xfId="0" applyFont="1" applyBorder="1"/>
    <xf numFmtId="0" fontId="15" fillId="0" borderId="13" xfId="0" applyFont="1" applyBorder="1"/>
    <xf numFmtId="2" fontId="14" fillId="7" borderId="0" xfId="0" applyNumberFormat="1" applyFont="1" applyFill="1" applyBorder="1"/>
    <xf numFmtId="0" fontId="15" fillId="0" borderId="16" xfId="0" applyFont="1" applyBorder="1"/>
    <xf numFmtId="3" fontId="15" fillId="0" borderId="14" xfId="0" applyNumberFormat="1" applyFont="1" applyFill="1" applyBorder="1" applyAlignment="1">
      <alignment horizontal="left" vertical="top"/>
    </xf>
    <xf numFmtId="2" fontId="14" fillId="6" borderId="0" xfId="0" applyNumberFormat="1" applyFont="1" applyFill="1" applyBorder="1"/>
    <xf numFmtId="2" fontId="14" fillId="8" borderId="0" xfId="0" applyNumberFormat="1" applyFont="1" applyFill="1" applyBorder="1"/>
    <xf numFmtId="0" fontId="15" fillId="0" borderId="16" xfId="0" applyFont="1" applyFill="1" applyBorder="1"/>
    <xf numFmtId="2" fontId="14" fillId="10" borderId="0" xfId="0" applyNumberFormat="1" applyFont="1" applyFill="1" applyBorder="1"/>
    <xf numFmtId="2" fontId="14" fillId="4" borderId="0" xfId="0" applyNumberFormat="1" applyFont="1" applyFill="1" applyBorder="1"/>
    <xf numFmtId="0" fontId="16" fillId="0" borderId="5" xfId="0" applyFont="1" applyBorder="1" applyAlignment="1">
      <alignment vertical="top" wrapText="1"/>
    </xf>
    <xf numFmtId="0" fontId="17" fillId="0" borderId="6" xfId="0" applyFont="1" applyBorder="1" applyAlignment="1">
      <alignment vertical="top" wrapText="1"/>
    </xf>
    <xf numFmtId="0" fontId="18" fillId="0" borderId="8" xfId="0" applyFont="1" applyBorder="1" applyAlignment="1">
      <alignment vertical="top" wrapText="1"/>
    </xf>
    <xf numFmtId="0" fontId="17" fillId="0" borderId="0" xfId="0" applyFont="1" applyBorder="1" applyAlignment="1">
      <alignment vertical="top" wrapText="1"/>
    </xf>
    <xf numFmtId="0" fontId="19" fillId="0" borderId="2" xfId="0" applyFont="1" applyBorder="1"/>
    <xf numFmtId="0" fontId="20" fillId="0" borderId="4" xfId="0" applyFont="1" applyBorder="1"/>
    <xf numFmtId="0" fontId="17" fillId="0" borderId="2" xfId="0" applyFont="1" applyBorder="1"/>
    <xf numFmtId="0" fontId="17" fillId="0" borderId="34" xfId="0" applyFont="1" applyBorder="1"/>
    <xf numFmtId="0" fontId="17" fillId="0" borderId="1" xfId="0" applyFont="1" applyFill="1" applyBorder="1"/>
    <xf numFmtId="0" fontId="13" fillId="0" borderId="1" xfId="0" applyFont="1" applyBorder="1"/>
    <xf numFmtId="0" fontId="19" fillId="0" borderId="8" xfId="0" applyFont="1" applyBorder="1"/>
    <xf numFmtId="0" fontId="22" fillId="0" borderId="0" xfId="0" applyFont="1"/>
    <xf numFmtId="0" fontId="22" fillId="0" borderId="5" xfId="0" applyFont="1" applyBorder="1"/>
    <xf numFmtId="0" fontId="13" fillId="0" borderId="6" xfId="0" applyFont="1" applyBorder="1"/>
    <xf numFmtId="0" fontId="13" fillId="0" borderId="5" xfId="0" applyFont="1" applyBorder="1"/>
    <xf numFmtId="0" fontId="22" fillId="0" borderId="7" xfId="0" applyFont="1" applyBorder="1"/>
    <xf numFmtId="0" fontId="13" fillId="0" borderId="7" xfId="0" applyFont="1" applyBorder="1"/>
    <xf numFmtId="0" fontId="13" fillId="0" borderId="21" xfId="0" applyFont="1" applyBorder="1"/>
    <xf numFmtId="0" fontId="13" fillId="0" borderId="7" xfId="0" applyFont="1" applyFill="1" applyBorder="1"/>
    <xf numFmtId="0" fontId="13" fillId="0" borderId="5" xfId="0" applyFont="1" applyFill="1" applyBorder="1"/>
    <xf numFmtId="0" fontId="13" fillId="0" borderId="8" xfId="0" applyFont="1" applyBorder="1"/>
    <xf numFmtId="0" fontId="13" fillId="0" borderId="0" xfId="0" applyFont="1" applyBorder="1"/>
    <xf numFmtId="0" fontId="13" fillId="0" borderId="9" xfId="0" applyFont="1" applyBorder="1"/>
    <xf numFmtId="0" fontId="22" fillId="0" borderId="9" xfId="0" applyFont="1" applyBorder="1"/>
    <xf numFmtId="0" fontId="13" fillId="0" borderId="16" xfId="0" applyFont="1" applyBorder="1"/>
    <xf numFmtId="0" fontId="13" fillId="0" borderId="0" xfId="0" applyFont="1" applyFill="1" applyBorder="1"/>
    <xf numFmtId="0" fontId="22" fillId="0" borderId="8" xfId="0" applyFont="1" applyBorder="1"/>
    <xf numFmtId="0" fontId="13" fillId="3" borderId="0" xfId="0" applyFont="1" applyFill="1" applyBorder="1"/>
    <xf numFmtId="0" fontId="13" fillId="3" borderId="8" xfId="0" applyFont="1" applyFill="1" applyBorder="1"/>
    <xf numFmtId="0" fontId="13" fillId="2" borderId="9" xfId="0" applyFont="1" applyFill="1" applyBorder="1"/>
    <xf numFmtId="2" fontId="13" fillId="0" borderId="0" xfId="0" applyNumberFormat="1" applyFont="1" applyFill="1" applyBorder="1"/>
    <xf numFmtId="2" fontId="13" fillId="0" borderId="0" xfId="0" applyNumberFormat="1" applyFont="1" applyBorder="1"/>
    <xf numFmtId="2" fontId="13" fillId="3" borderId="8" xfId="0" applyNumberFormat="1" applyFont="1" applyFill="1" applyBorder="1"/>
    <xf numFmtId="2" fontId="13" fillId="0" borderId="8" xfId="0" applyNumberFormat="1" applyFont="1" applyBorder="1"/>
    <xf numFmtId="0" fontId="13" fillId="0" borderId="11" xfId="0" applyFont="1" applyBorder="1"/>
    <xf numFmtId="0" fontId="13" fillId="0" borderId="4" xfId="0" applyFont="1" applyBorder="1"/>
    <xf numFmtId="0" fontId="13" fillId="3" borderId="10" xfId="0" applyFont="1" applyFill="1" applyBorder="1"/>
    <xf numFmtId="0" fontId="22" fillId="4" borderId="11" xfId="0" applyFont="1" applyFill="1" applyBorder="1"/>
    <xf numFmtId="0" fontId="13" fillId="0" borderId="10" xfId="0" applyFont="1" applyBorder="1"/>
    <xf numFmtId="0" fontId="22" fillId="0" borderId="0" xfId="0" applyFont="1" applyFill="1" applyBorder="1"/>
    <xf numFmtId="165" fontId="13" fillId="0" borderId="0" xfId="0" applyNumberFormat="1" applyFont="1" applyFill="1" applyBorder="1"/>
    <xf numFmtId="0" fontId="17" fillId="0" borderId="0" xfId="0" applyFont="1" applyBorder="1" applyAlignment="1">
      <alignment horizontal="center" vertical="top" wrapText="1"/>
    </xf>
    <xf numFmtId="0" fontId="13" fillId="0" borderId="17" xfId="0" applyFont="1" applyBorder="1"/>
    <xf numFmtId="0" fontId="13" fillId="10" borderId="0" xfId="0" applyFont="1" applyFill="1" applyBorder="1"/>
    <xf numFmtId="0" fontId="22" fillId="0" borderId="0" xfId="0" applyFont="1" applyBorder="1"/>
    <xf numFmtId="0" fontId="13" fillId="0" borderId="8" xfId="0" applyFont="1" applyFill="1" applyBorder="1"/>
    <xf numFmtId="0" fontId="13" fillId="8" borderId="16" xfId="0" applyFont="1" applyFill="1" applyBorder="1"/>
    <xf numFmtId="2" fontId="13" fillId="0" borderId="23" xfId="0" applyNumberFormat="1" applyFont="1" applyBorder="1"/>
    <xf numFmtId="2" fontId="13" fillId="6" borderId="1" xfId="0" applyNumberFormat="1" applyFont="1" applyFill="1" applyBorder="1"/>
    <xf numFmtId="2" fontId="22" fillId="7" borderId="1" xfId="0" applyNumberFormat="1" applyFont="1" applyFill="1" applyBorder="1"/>
    <xf numFmtId="2" fontId="22" fillId="8" borderId="1" xfId="0" applyNumberFormat="1" applyFont="1" applyFill="1" applyBorder="1"/>
    <xf numFmtId="3" fontId="13" fillId="0" borderId="0" xfId="0" applyNumberFormat="1" applyFont="1" applyFill="1" applyBorder="1" applyAlignment="1">
      <alignment horizontal="center" vertical="top"/>
    </xf>
    <xf numFmtId="165" fontId="22" fillId="8" borderId="0" xfId="0" applyNumberFormat="1" applyFont="1" applyFill="1" applyBorder="1"/>
    <xf numFmtId="0" fontId="13" fillId="0" borderId="13" xfId="0" applyFont="1" applyBorder="1"/>
    <xf numFmtId="0" fontId="13" fillId="0" borderId="14" xfId="0" applyFont="1" applyBorder="1"/>
    <xf numFmtId="0" fontId="13" fillId="0" borderId="15" xfId="0" applyFont="1" applyBorder="1"/>
    <xf numFmtId="0" fontId="13" fillId="0" borderId="18" xfId="0" applyFont="1" applyBorder="1"/>
    <xf numFmtId="0" fontId="13" fillId="0" borderId="19" xfId="0" applyFont="1" applyBorder="1"/>
    <xf numFmtId="0" fontId="13" fillId="0" borderId="20" xfId="0" applyFont="1" applyBorder="1"/>
    <xf numFmtId="0" fontId="13" fillId="0" borderId="24" xfId="0" applyFont="1" applyBorder="1"/>
    <xf numFmtId="2" fontId="13" fillId="0" borderId="9" xfId="0" applyNumberFormat="1" applyFont="1" applyBorder="1"/>
    <xf numFmtId="0" fontId="17" fillId="0" borderId="0" xfId="0" applyFont="1" applyBorder="1"/>
    <xf numFmtId="0" fontId="17" fillId="0" borderId="0" xfId="0" applyFont="1" applyBorder="1" applyAlignment="1">
      <alignment horizontal="right"/>
    </xf>
    <xf numFmtId="0" fontId="24" fillId="0" borderId="0" xfId="0" applyFont="1"/>
    <xf numFmtId="0" fontId="17" fillId="0" borderId="0" xfId="0" applyFont="1" applyFill="1" applyBorder="1" applyAlignment="1">
      <alignment vertical="top"/>
    </xf>
    <xf numFmtId="49" fontId="13" fillId="0" borderId="0" xfId="0" applyNumberFormat="1" applyFont="1"/>
    <xf numFmtId="0" fontId="13" fillId="0" borderId="0" xfId="0" applyFont="1" applyFill="1" applyBorder="1" applyAlignment="1">
      <alignment horizontal="center" vertical="top"/>
    </xf>
    <xf numFmtId="0" fontId="13" fillId="0" borderId="6" xfId="0" applyFont="1" applyFill="1" applyBorder="1"/>
    <xf numFmtId="0" fontId="13" fillId="2" borderId="0" xfId="0" applyFont="1" applyFill="1" applyBorder="1"/>
    <xf numFmtId="0" fontId="13" fillId="2" borderId="0" xfId="0" applyFont="1" applyFill="1"/>
    <xf numFmtId="2" fontId="13" fillId="2" borderId="0" xfId="0" applyNumberFormat="1" applyFont="1" applyFill="1" applyBorder="1"/>
    <xf numFmtId="165" fontId="13" fillId="0" borderId="0" xfId="0" applyNumberFormat="1" applyFont="1"/>
    <xf numFmtId="165" fontId="13" fillId="0" borderId="0" xfId="0" applyNumberFormat="1" applyFont="1" applyBorder="1"/>
    <xf numFmtId="166" fontId="13" fillId="0" borderId="9" xfId="0" applyNumberFormat="1" applyFont="1" applyBorder="1"/>
    <xf numFmtId="166" fontId="13" fillId="2" borderId="9" xfId="0" applyNumberFormat="1" applyFont="1" applyFill="1" applyBorder="1"/>
    <xf numFmtId="166" fontId="13" fillId="0" borderId="0" xfId="0" applyNumberFormat="1" applyFont="1" applyFill="1" applyBorder="1"/>
    <xf numFmtId="2" fontId="13" fillId="0" borderId="6" xfId="0" applyNumberFormat="1" applyFont="1" applyBorder="1"/>
    <xf numFmtId="2" fontId="13" fillId="8" borderId="0" xfId="0" applyNumberFormat="1" applyFont="1" applyFill="1" applyBorder="1"/>
    <xf numFmtId="2" fontId="13" fillId="10" borderId="0" xfId="0" applyNumberFormat="1" applyFont="1" applyFill="1" applyBorder="1"/>
    <xf numFmtId="2" fontId="13" fillId="0" borderId="8" xfId="0" applyNumberFormat="1" applyFont="1" applyFill="1" applyBorder="1"/>
    <xf numFmtId="2" fontId="22" fillId="0" borderId="0" xfId="0" applyNumberFormat="1" applyFont="1" applyBorder="1"/>
    <xf numFmtId="0" fontId="23" fillId="0" borderId="0" xfId="0" applyFont="1"/>
    <xf numFmtId="0" fontId="23" fillId="0" borderId="0" xfId="0" applyFont="1" applyFill="1" applyBorder="1"/>
    <xf numFmtId="0" fontId="23" fillId="0" borderId="0" xfId="0" applyFont="1" applyBorder="1"/>
    <xf numFmtId="0" fontId="23" fillId="3" borderId="0" xfId="0" applyFont="1" applyFill="1" applyBorder="1"/>
    <xf numFmtId="0" fontId="13" fillId="10" borderId="0" xfId="0" applyFont="1" applyFill="1"/>
    <xf numFmtId="0" fontId="22" fillId="10" borderId="0" xfId="0" applyFont="1" applyFill="1"/>
    <xf numFmtId="165" fontId="13" fillId="10" borderId="0" xfId="0" applyNumberFormat="1" applyFont="1" applyFill="1"/>
    <xf numFmtId="166" fontId="13" fillId="0" borderId="0" xfId="0" applyNumberFormat="1" applyFont="1" applyBorder="1"/>
    <xf numFmtId="0" fontId="18" fillId="0" borderId="0" xfId="0" applyFont="1" applyBorder="1" applyAlignment="1">
      <alignment vertical="top" wrapText="1"/>
    </xf>
    <xf numFmtId="0" fontId="17" fillId="0" borderId="8" xfId="0" applyFont="1" applyBorder="1" applyAlignment="1">
      <alignment vertical="top" wrapText="1"/>
    </xf>
    <xf numFmtId="2" fontId="13" fillId="0" borderId="19" xfId="0" applyNumberFormat="1" applyFont="1" applyFill="1" applyBorder="1"/>
    <xf numFmtId="0" fontId="0" fillId="0" borderId="8" xfId="0" applyBorder="1"/>
    <xf numFmtId="0" fontId="0" fillId="0" borderId="9" xfId="0" applyBorder="1"/>
    <xf numFmtId="0" fontId="0" fillId="0" borderId="4" xfId="0" applyBorder="1"/>
    <xf numFmtId="165" fontId="23" fillId="0" borderId="0" xfId="0" applyNumberFormat="1" applyFont="1"/>
    <xf numFmtId="2" fontId="13" fillId="0" borderId="11" xfId="0" applyNumberFormat="1" applyFont="1" applyBorder="1"/>
    <xf numFmtId="2" fontId="13" fillId="0" borderId="4" xfId="0" applyNumberFormat="1" applyFont="1" applyBorder="1"/>
    <xf numFmtId="2" fontId="13" fillId="11" borderId="0" xfId="0" applyNumberFormat="1" applyFont="1" applyFill="1" applyBorder="1"/>
    <xf numFmtId="2" fontId="13" fillId="11" borderId="11" xfId="0" applyNumberFormat="1" applyFont="1" applyFill="1" applyBorder="1"/>
    <xf numFmtId="2" fontId="14" fillId="13" borderId="0" xfId="0" applyNumberFormat="1" applyFont="1" applyFill="1" applyBorder="1"/>
    <xf numFmtId="2" fontId="14" fillId="11" borderId="0" xfId="0" applyNumberFormat="1" applyFont="1" applyFill="1" applyBorder="1"/>
    <xf numFmtId="2" fontId="14" fillId="15" borderId="0" xfId="0" applyNumberFormat="1" applyFont="1" applyFill="1" applyBorder="1"/>
    <xf numFmtId="2" fontId="14" fillId="16" borderId="0" xfId="0" applyNumberFormat="1" applyFont="1" applyFill="1" applyBorder="1"/>
    <xf numFmtId="2" fontId="14" fillId="17" borderId="0" xfId="0" applyNumberFormat="1" applyFont="1" applyFill="1" applyBorder="1"/>
    <xf numFmtId="2" fontId="13" fillId="2" borderId="9" xfId="0" applyNumberFormat="1" applyFont="1" applyFill="1" applyBorder="1"/>
    <xf numFmtId="2" fontId="13" fillId="2" borderId="4" xfId="0" applyNumberFormat="1" applyFont="1" applyFill="1" applyBorder="1"/>
    <xf numFmtId="2" fontId="13" fillId="2" borderId="11" xfId="0" applyNumberFormat="1" applyFont="1" applyFill="1" applyBorder="1"/>
    <xf numFmtId="2" fontId="13" fillId="2" borderId="8" xfId="0" applyNumberFormat="1" applyFont="1" applyFill="1" applyBorder="1"/>
    <xf numFmtId="2" fontId="13" fillId="2" borderId="10" xfId="0" applyNumberFormat="1" applyFont="1" applyFill="1" applyBorder="1"/>
    <xf numFmtId="2" fontId="14" fillId="12" borderId="0" xfId="0" applyNumberFormat="1" applyFont="1" applyFill="1" applyBorder="1"/>
    <xf numFmtId="0" fontId="13" fillId="0" borderId="36" xfId="0" applyFont="1" applyBorder="1"/>
    <xf numFmtId="0" fontId="13" fillId="0" borderId="12" xfId="0" applyFont="1" applyBorder="1"/>
    <xf numFmtId="9" fontId="13" fillId="0" borderId="12" xfId="0" applyNumberFormat="1" applyFont="1" applyBorder="1"/>
    <xf numFmtId="166" fontId="13" fillId="0" borderId="23" xfId="0" applyNumberFormat="1" applyFont="1" applyBorder="1"/>
    <xf numFmtId="166" fontId="13" fillId="0" borderId="24" xfId="0" applyNumberFormat="1" applyFont="1" applyBorder="1"/>
    <xf numFmtId="0" fontId="13" fillId="18" borderId="8" xfId="0" applyFont="1" applyFill="1" applyBorder="1"/>
    <xf numFmtId="0" fontId="13" fillId="18" borderId="9" xfId="0" applyFont="1" applyFill="1" applyBorder="1"/>
    <xf numFmtId="0" fontId="13" fillId="18" borderId="5" xfId="0" applyFont="1" applyFill="1" applyBorder="1"/>
    <xf numFmtId="0" fontId="22" fillId="18" borderId="7" xfId="0" applyFont="1" applyFill="1" applyBorder="1"/>
    <xf numFmtId="0" fontId="13" fillId="18" borderId="7" xfId="0" applyFont="1" applyFill="1" applyBorder="1"/>
    <xf numFmtId="0" fontId="22" fillId="18" borderId="9" xfId="0" applyFont="1" applyFill="1" applyBorder="1"/>
    <xf numFmtId="0" fontId="13" fillId="0" borderId="11" xfId="0" applyFont="1" applyFill="1" applyBorder="1"/>
    <xf numFmtId="1" fontId="13" fillId="15" borderId="4" xfId="0" applyNumberFormat="1" applyFont="1" applyFill="1" applyBorder="1"/>
    <xf numFmtId="166" fontId="13" fillId="0" borderId="19" xfId="0" applyNumberFormat="1" applyFont="1" applyFill="1" applyBorder="1"/>
    <xf numFmtId="0" fontId="22" fillId="0" borderId="11" xfId="0" applyFont="1" applyFill="1" applyBorder="1"/>
    <xf numFmtId="166" fontId="13" fillId="0" borderId="11" xfId="0" applyNumberFormat="1" applyFont="1" applyFill="1" applyBorder="1"/>
    <xf numFmtId="0" fontId="23" fillId="0" borderId="11" xfId="0" applyFont="1" applyFill="1" applyBorder="1"/>
    <xf numFmtId="0" fontId="13" fillId="0" borderId="4" xfId="0" applyFont="1" applyFill="1" applyBorder="1"/>
    <xf numFmtId="166" fontId="22" fillId="0" borderId="6" xfId="0" applyNumberFormat="1" applyFont="1" applyBorder="1"/>
    <xf numFmtId="166" fontId="13" fillId="0" borderId="11" xfId="0" applyNumberFormat="1" applyFont="1" applyBorder="1"/>
    <xf numFmtId="2" fontId="13" fillId="3" borderId="9" xfId="0" applyNumberFormat="1" applyFont="1" applyFill="1" applyBorder="1"/>
    <xf numFmtId="0" fontId="13" fillId="0" borderId="10" xfId="0" applyFont="1" applyFill="1" applyBorder="1"/>
    <xf numFmtId="0" fontId="0" fillId="0" borderId="0" xfId="0" applyFont="1"/>
    <xf numFmtId="166" fontId="22" fillId="0" borderId="0" xfId="0" applyNumberFormat="1" applyFont="1" applyBorder="1"/>
    <xf numFmtId="17" fontId="13" fillId="0" borderId="0" xfId="0" applyNumberFormat="1" applyFont="1"/>
    <xf numFmtId="0" fontId="7" fillId="0" borderId="0" xfId="0" applyFont="1" applyBorder="1"/>
    <xf numFmtId="0" fontId="8" fillId="0" borderId="0" xfId="0" applyFont="1" applyBorder="1"/>
    <xf numFmtId="0" fontId="8" fillId="0" borderId="0" xfId="0" applyFont="1" applyBorder="1" applyAlignment="1">
      <alignment horizontal="right"/>
    </xf>
    <xf numFmtId="0" fontId="9" fillId="0" borderId="0" xfId="0" applyFont="1" applyBorder="1"/>
    <xf numFmtId="0" fontId="10" fillId="0" borderId="0" xfId="0" applyFont="1" applyBorder="1"/>
    <xf numFmtId="0" fontId="7" fillId="0" borderId="0" xfId="0" applyFont="1" applyBorder="1" applyAlignment="1">
      <alignment horizontal="right"/>
    </xf>
    <xf numFmtId="3" fontId="7" fillId="0" borderId="0" xfId="0" applyNumberFormat="1" applyFont="1" applyBorder="1" applyAlignment="1">
      <alignment horizontal="right"/>
    </xf>
    <xf numFmtId="0" fontId="0" fillId="0" borderId="36" xfId="0" applyBorder="1"/>
    <xf numFmtId="0" fontId="0" fillId="0" borderId="24" xfId="0" applyBorder="1"/>
    <xf numFmtId="2" fontId="13" fillId="0" borderId="0" xfId="0" applyNumberFormat="1" applyFont="1" applyFill="1" applyBorder="1" applyAlignment="1">
      <alignment horizontal="center" vertical="top"/>
    </xf>
    <xf numFmtId="166" fontId="13" fillId="0" borderId="13" xfId="0" applyNumberFormat="1" applyFont="1" applyBorder="1"/>
    <xf numFmtId="166" fontId="13" fillId="0" borderId="14" xfId="0" applyNumberFormat="1" applyFont="1" applyBorder="1"/>
    <xf numFmtId="166" fontId="13" fillId="0" borderId="15" xfId="0" applyNumberFormat="1" applyFont="1" applyBorder="1"/>
    <xf numFmtId="166" fontId="13" fillId="0" borderId="16" xfId="0" applyNumberFormat="1" applyFont="1" applyBorder="1"/>
    <xf numFmtId="166" fontId="13" fillId="0" borderId="17" xfId="0" applyNumberFormat="1" applyFont="1" applyBorder="1"/>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6" fontId="13" fillId="0" borderId="15" xfId="0" applyNumberFormat="1" applyFont="1" applyBorder="1" applyAlignment="1">
      <alignment horizontal="center"/>
    </xf>
    <xf numFmtId="166" fontId="13" fillId="0" borderId="16" xfId="0" applyNumberFormat="1" applyFont="1" applyBorder="1" applyAlignment="1">
      <alignment horizontal="center"/>
    </xf>
    <xf numFmtId="166" fontId="13" fillId="0" borderId="0" xfId="0" applyNumberFormat="1" applyFont="1" applyBorder="1" applyAlignment="1">
      <alignment horizontal="center"/>
    </xf>
    <xf numFmtId="166" fontId="13" fillId="0" borderId="17" xfId="0" applyNumberFormat="1" applyFont="1" applyBorder="1" applyAlignment="1">
      <alignment horizontal="center"/>
    </xf>
    <xf numFmtId="166" fontId="13" fillId="0" borderId="18" xfId="0" applyNumberFormat="1" applyFont="1" applyBorder="1" applyAlignment="1">
      <alignment horizontal="center"/>
    </xf>
    <xf numFmtId="166" fontId="13" fillId="0" borderId="19" xfId="0" applyNumberFormat="1" applyFont="1" applyBorder="1" applyAlignment="1">
      <alignment horizontal="center"/>
    </xf>
    <xf numFmtId="166" fontId="13" fillId="0" borderId="20" xfId="0" applyNumberFormat="1" applyFont="1" applyBorder="1" applyAlignment="1">
      <alignment horizontal="center"/>
    </xf>
    <xf numFmtId="166" fontId="13" fillId="0" borderId="18" xfId="0" applyNumberFormat="1" applyFont="1" applyBorder="1"/>
    <xf numFmtId="166" fontId="13" fillId="0" borderId="19" xfId="0" applyNumberFormat="1" applyFont="1" applyBorder="1"/>
    <xf numFmtId="166" fontId="13" fillId="0" borderId="20" xfId="0" applyNumberFormat="1" applyFont="1" applyBorder="1"/>
    <xf numFmtId="166" fontId="13" fillId="0" borderId="32" xfId="0" applyNumberFormat="1" applyFont="1" applyBorder="1" applyAlignment="1">
      <alignment horizontal="center"/>
    </xf>
    <xf numFmtId="166" fontId="13" fillId="0" borderId="12" xfId="0" applyNumberFormat="1" applyFont="1" applyBorder="1" applyAlignment="1">
      <alignment horizontal="center"/>
    </xf>
    <xf numFmtId="166" fontId="22" fillId="0" borderId="12" xfId="0" applyNumberFormat="1" applyFont="1" applyBorder="1" applyAlignment="1">
      <alignment horizontal="center"/>
    </xf>
    <xf numFmtId="166" fontId="13" fillId="0" borderId="12" xfId="0" applyNumberFormat="1" applyFont="1" applyBorder="1"/>
    <xf numFmtId="166" fontId="13" fillId="0" borderId="23" xfId="0" applyNumberFormat="1" applyFont="1" applyFill="1" applyBorder="1" applyAlignment="1">
      <alignment horizontal="center"/>
    </xf>
    <xf numFmtId="166" fontId="13" fillId="0" borderId="24" xfId="0" applyNumberFormat="1" applyFont="1" applyFill="1" applyBorder="1" applyAlignment="1">
      <alignment horizontal="center"/>
    </xf>
    <xf numFmtId="166" fontId="14" fillId="0" borderId="0" xfId="0" applyNumberFormat="1" applyFont="1"/>
    <xf numFmtId="166" fontId="14" fillId="0" borderId="13" xfId="0" applyNumberFormat="1" applyFont="1" applyBorder="1"/>
    <xf numFmtId="166" fontId="14" fillId="0" borderId="14" xfId="0" applyNumberFormat="1" applyFont="1" applyBorder="1"/>
    <xf numFmtId="166" fontId="14" fillId="0" borderId="15" xfId="0" applyNumberFormat="1" applyFont="1" applyBorder="1"/>
    <xf numFmtId="166" fontId="14" fillId="0" borderId="17" xfId="0" applyNumberFormat="1" applyFont="1" applyBorder="1"/>
    <xf numFmtId="166" fontId="0" fillId="0" borderId="17" xfId="0" applyNumberFormat="1" applyBorder="1"/>
    <xf numFmtId="166" fontId="14" fillId="0" borderId="20" xfId="0" applyNumberFormat="1" applyFont="1" applyBorder="1"/>
    <xf numFmtId="0" fontId="22" fillId="0" borderId="16" xfId="0" applyFont="1" applyBorder="1"/>
    <xf numFmtId="2" fontId="14" fillId="9" borderId="17" xfId="0" applyNumberFormat="1" applyFont="1" applyFill="1" applyBorder="1"/>
    <xf numFmtId="0" fontId="14" fillId="0" borderId="13" xfId="0" applyFont="1" applyBorder="1"/>
    <xf numFmtId="2" fontId="14" fillId="8" borderId="14" xfId="0" applyNumberFormat="1" applyFont="1" applyFill="1" applyBorder="1"/>
    <xf numFmtId="0" fontId="14" fillId="17" borderId="14" xfId="0" applyFont="1" applyFill="1" applyBorder="1"/>
    <xf numFmtId="2" fontId="14" fillId="9" borderId="15" xfId="0" applyNumberFormat="1" applyFont="1" applyFill="1" applyBorder="1"/>
    <xf numFmtId="2" fontId="14" fillId="8" borderId="19" xfId="0" applyNumberFormat="1" applyFont="1" applyFill="1" applyBorder="1"/>
    <xf numFmtId="2" fontId="14" fillId="17" borderId="19" xfId="0" applyNumberFormat="1" applyFont="1" applyFill="1" applyBorder="1"/>
    <xf numFmtId="2" fontId="14" fillId="9" borderId="20" xfId="0" applyNumberFormat="1" applyFont="1" applyFill="1" applyBorder="1"/>
    <xf numFmtId="2" fontId="14" fillId="13" borderId="14" xfId="0" applyNumberFormat="1" applyFont="1" applyFill="1" applyBorder="1"/>
    <xf numFmtId="2" fontId="14" fillId="13" borderId="19" xfId="0" applyNumberFormat="1" applyFont="1" applyFill="1" applyBorder="1"/>
    <xf numFmtId="2" fontId="14" fillId="7" borderId="19" xfId="0" applyNumberFormat="1" applyFont="1" applyFill="1" applyBorder="1"/>
    <xf numFmtId="2" fontId="14" fillId="11" borderId="19" xfId="0" applyNumberFormat="1" applyFont="1" applyFill="1" applyBorder="1"/>
    <xf numFmtId="2" fontId="14" fillId="7" borderId="14" xfId="0" applyNumberFormat="1" applyFont="1" applyFill="1" applyBorder="1"/>
    <xf numFmtId="0" fontId="14" fillId="16" borderId="14" xfId="0" applyFont="1" applyFill="1" applyBorder="1"/>
    <xf numFmtId="2" fontId="14" fillId="16" borderId="19" xfId="0" applyNumberFormat="1" applyFont="1" applyFill="1" applyBorder="1"/>
    <xf numFmtId="2" fontId="14" fillId="11" borderId="14" xfId="0" applyNumberFormat="1" applyFont="1" applyFill="1" applyBorder="1"/>
    <xf numFmtId="0" fontId="22" fillId="0" borderId="13" xfId="0" applyFont="1" applyBorder="1"/>
    <xf numFmtId="2" fontId="14" fillId="6" borderId="14" xfId="0" applyNumberFormat="1" applyFont="1" applyFill="1" applyBorder="1"/>
    <xf numFmtId="0" fontId="14" fillId="15" borderId="14" xfId="0" applyFont="1" applyFill="1" applyBorder="1"/>
    <xf numFmtId="2" fontId="14" fillId="6" borderId="19" xfId="0" applyNumberFormat="1" applyFont="1" applyFill="1" applyBorder="1"/>
    <xf numFmtId="2" fontId="14" fillId="15" borderId="19" xfId="0" applyNumberFormat="1" applyFont="1" applyFill="1" applyBorder="1"/>
    <xf numFmtId="2" fontId="14" fillId="12" borderId="14" xfId="0" applyNumberFormat="1" applyFont="1" applyFill="1" applyBorder="1"/>
    <xf numFmtId="2" fontId="14" fillId="12" borderId="19" xfId="0" applyNumberFormat="1" applyFont="1" applyFill="1" applyBorder="1"/>
    <xf numFmtId="2" fontId="22" fillId="0" borderId="35" xfId="0" applyNumberFormat="1" applyFont="1" applyFill="1" applyBorder="1"/>
    <xf numFmtId="0" fontId="0" fillId="0" borderId="38" xfId="0" applyBorder="1"/>
    <xf numFmtId="0" fontId="0" fillId="0" borderId="3" xfId="0" applyBorder="1"/>
    <xf numFmtId="2" fontId="13" fillId="14" borderId="8" xfId="0" applyNumberFormat="1" applyFont="1" applyFill="1" applyBorder="1"/>
    <xf numFmtId="0" fontId="13" fillId="13" borderId="9" xfId="0" applyFont="1" applyFill="1" applyBorder="1"/>
    <xf numFmtId="1" fontId="13" fillId="14" borderId="8" xfId="0" applyNumberFormat="1" applyFont="1" applyFill="1" applyBorder="1"/>
    <xf numFmtId="1" fontId="13" fillId="14" borderId="10" xfId="0" applyNumberFormat="1" applyFont="1" applyFill="1" applyBorder="1"/>
    <xf numFmtId="0" fontId="13" fillId="13" borderId="4" xfId="0" applyFont="1" applyFill="1" applyBorder="1"/>
    <xf numFmtId="0" fontId="13" fillId="0" borderId="39" xfId="0" applyFont="1" applyBorder="1"/>
    <xf numFmtId="0" fontId="13" fillId="0" borderId="40" xfId="0" applyFont="1" applyBorder="1"/>
    <xf numFmtId="0" fontId="13" fillId="0" borderId="34" xfId="0" applyFont="1" applyBorder="1"/>
    <xf numFmtId="0" fontId="22" fillId="0" borderId="34" xfId="0" applyFont="1" applyBorder="1"/>
    <xf numFmtId="0" fontId="22" fillId="0" borderId="2" xfId="0" applyFont="1" applyBorder="1"/>
    <xf numFmtId="0" fontId="27" fillId="0" borderId="5" xfId="0" applyFont="1" applyFill="1" applyBorder="1"/>
    <xf numFmtId="2" fontId="13" fillId="0" borderId="7" xfId="0" applyNumberFormat="1" applyFont="1" applyFill="1" applyBorder="1"/>
    <xf numFmtId="0" fontId="27" fillId="0" borderId="5" xfId="0" applyFont="1" applyBorder="1"/>
    <xf numFmtId="0" fontId="13" fillId="4" borderId="11" xfId="0" applyFont="1" applyFill="1" applyBorder="1"/>
    <xf numFmtId="0" fontId="23" fillId="0" borderId="6" xfId="0" applyFont="1" applyFill="1" applyBorder="1"/>
    <xf numFmtId="166" fontId="13" fillId="0" borderId="4" xfId="0" applyNumberFormat="1" applyFont="1" applyFill="1" applyBorder="1"/>
    <xf numFmtId="166" fontId="13" fillId="0" borderId="7" xfId="0" applyNumberFormat="1" applyFont="1" applyFill="1" applyBorder="1"/>
    <xf numFmtId="0" fontId="13" fillId="4" borderId="10" xfId="0" applyFont="1" applyFill="1" applyBorder="1"/>
    <xf numFmtId="166" fontId="13" fillId="4" borderId="31" xfId="0" applyNumberFormat="1" applyFont="1" applyFill="1" applyBorder="1"/>
    <xf numFmtId="0" fontId="23" fillId="4" borderId="11" xfId="0" applyFont="1" applyFill="1" applyBorder="1"/>
    <xf numFmtId="2" fontId="13" fillId="4" borderId="31" xfId="0" applyNumberFormat="1" applyFont="1" applyFill="1" applyBorder="1"/>
    <xf numFmtId="0" fontId="13" fillId="4" borderId="31" xfId="0" applyFont="1" applyFill="1" applyBorder="1"/>
    <xf numFmtId="0" fontId="13" fillId="4" borderId="4" xfId="0" applyFont="1" applyFill="1" applyBorder="1"/>
    <xf numFmtId="1" fontId="13" fillId="18" borderId="8" xfId="0" applyNumberFormat="1" applyFont="1" applyFill="1" applyBorder="1"/>
    <xf numFmtId="1" fontId="22" fillId="18" borderId="9" xfId="0" applyNumberFormat="1" applyFont="1" applyFill="1" applyBorder="1"/>
    <xf numFmtId="1" fontId="13" fillId="4" borderId="8" xfId="0" applyNumberFormat="1" applyFont="1" applyFill="1" applyBorder="1"/>
    <xf numFmtId="1" fontId="13" fillId="0" borderId="8" xfId="0" applyNumberFormat="1" applyFont="1" applyFill="1" applyBorder="1"/>
    <xf numFmtId="1" fontId="13" fillId="18" borderId="37" xfId="0" applyNumberFormat="1" applyFont="1" applyFill="1" applyBorder="1"/>
    <xf numFmtId="1" fontId="13" fillId="18" borderId="7" xfId="0" applyNumberFormat="1" applyFont="1" applyFill="1" applyBorder="1"/>
    <xf numFmtId="1" fontId="13" fillId="18" borderId="5" xfId="0" applyNumberFormat="1" applyFont="1" applyFill="1" applyBorder="1"/>
    <xf numFmtId="1" fontId="13" fillId="5" borderId="10" xfId="0" applyNumberFormat="1" applyFont="1" applyFill="1" applyBorder="1"/>
    <xf numFmtId="1" fontId="13" fillId="16" borderId="4" xfId="0" applyNumberFormat="1" applyFont="1" applyFill="1" applyBorder="1"/>
    <xf numFmtId="1" fontId="13" fillId="17" borderId="4" xfId="0" applyNumberFormat="1" applyFont="1" applyFill="1" applyBorder="1"/>
    <xf numFmtId="1" fontId="13" fillId="3" borderId="37" xfId="0" applyNumberFormat="1" applyFont="1" applyFill="1" applyBorder="1"/>
    <xf numFmtId="1" fontId="13" fillId="0" borderId="0" xfId="0" applyNumberFormat="1" applyFont="1"/>
    <xf numFmtId="1" fontId="13" fillId="0" borderId="9" xfId="0" applyNumberFormat="1" applyFont="1" applyFill="1" applyBorder="1"/>
    <xf numFmtId="1" fontId="13" fillId="0" borderId="10" xfId="0" applyNumberFormat="1" applyFont="1" applyFill="1" applyBorder="1"/>
    <xf numFmtId="0" fontId="0" fillId="0" borderId="4" xfId="0" applyFill="1" applyBorder="1"/>
    <xf numFmtId="1" fontId="13" fillId="0" borderId="4" xfId="0" applyNumberFormat="1" applyFont="1" applyFill="1" applyBorder="1"/>
    <xf numFmtId="1" fontId="13" fillId="0" borderId="0" xfId="0" applyNumberFormat="1" applyFont="1" applyFill="1" applyBorder="1"/>
    <xf numFmtId="1" fontId="13" fillId="2" borderId="0" xfId="0" applyNumberFormat="1" applyFont="1" applyFill="1" applyBorder="1"/>
    <xf numFmtId="1" fontId="13" fillId="0" borderId="26" xfId="0" applyNumberFormat="1" applyFont="1" applyFill="1" applyBorder="1"/>
    <xf numFmtId="1" fontId="13" fillId="0" borderId="5" xfId="0" applyNumberFormat="1" applyFont="1" applyBorder="1"/>
    <xf numFmtId="1" fontId="13" fillId="0" borderId="7" xfId="0" applyNumberFormat="1" applyFont="1" applyBorder="1"/>
    <xf numFmtId="0" fontId="0" fillId="0" borderId="8" xfId="0" applyFill="1" applyBorder="1"/>
    <xf numFmtId="0" fontId="0" fillId="0" borderId="9" xfId="0" applyFill="1" applyBorder="1"/>
    <xf numFmtId="1" fontId="13" fillId="0" borderId="29" xfId="0" applyNumberFormat="1" applyFont="1" applyFill="1" applyBorder="1"/>
    <xf numFmtId="166" fontId="13" fillId="0" borderId="9" xfId="0" applyNumberFormat="1" applyFont="1" applyFill="1" applyBorder="1"/>
    <xf numFmtId="1" fontId="13" fillId="18" borderId="0" xfId="0" applyNumberFormat="1" applyFont="1" applyFill="1" applyBorder="1"/>
    <xf numFmtId="1" fontId="13" fillId="18" borderId="6" xfId="0" applyNumberFormat="1" applyFont="1" applyFill="1" applyBorder="1"/>
    <xf numFmtId="1" fontId="13" fillId="5" borderId="11" xfId="0" applyNumberFormat="1" applyFont="1" applyFill="1" applyBorder="1"/>
    <xf numFmtId="1" fontId="13" fillId="2" borderId="9" xfId="0" applyNumberFormat="1" applyFont="1" applyFill="1" applyBorder="1"/>
    <xf numFmtId="1" fontId="13" fillId="16" borderId="11" xfId="0" applyNumberFormat="1" applyFont="1" applyFill="1" applyBorder="1"/>
    <xf numFmtId="1" fontId="13" fillId="0" borderId="8" xfId="0" applyNumberFormat="1" applyFont="1" applyBorder="1"/>
    <xf numFmtId="1" fontId="13" fillId="0" borderId="9" xfId="0" applyNumberFormat="1" applyFont="1" applyBorder="1"/>
    <xf numFmtId="0" fontId="13" fillId="0" borderId="2" xfId="0" applyFont="1" applyBorder="1"/>
    <xf numFmtId="166" fontId="13" fillId="0" borderId="7" xfId="0" applyNumberFormat="1" applyFont="1" applyBorder="1"/>
    <xf numFmtId="166" fontId="13" fillId="4" borderId="4" xfId="0" applyNumberFormat="1" applyFont="1" applyFill="1" applyBorder="1"/>
    <xf numFmtId="1" fontId="13" fillId="19" borderId="1" xfId="0" applyNumberFormat="1" applyFont="1" applyFill="1" applyBorder="1"/>
    <xf numFmtId="0" fontId="22" fillId="0" borderId="16" xfId="0" applyFont="1" applyFill="1" applyBorder="1"/>
    <xf numFmtId="0" fontId="22" fillId="0" borderId="6" xfId="0" applyFont="1" applyBorder="1"/>
    <xf numFmtId="2" fontId="13" fillId="0" borderId="1" xfId="0" applyNumberFormat="1" applyFont="1" applyFill="1" applyBorder="1"/>
    <xf numFmtId="166" fontId="13" fillId="4" borderId="43" xfId="0" applyNumberFormat="1" applyFont="1" applyFill="1" applyBorder="1"/>
    <xf numFmtId="166" fontId="13" fillId="2" borderId="4" xfId="0" applyNumberFormat="1" applyFont="1" applyFill="1" applyBorder="1"/>
    <xf numFmtId="2" fontId="13" fillId="0" borderId="17" xfId="0" applyNumberFormat="1" applyFont="1" applyBorder="1"/>
    <xf numFmtId="2" fontId="13" fillId="0" borderId="19" xfId="0" applyNumberFormat="1" applyFont="1" applyBorder="1"/>
    <xf numFmtId="2" fontId="13" fillId="0" borderId="20" xfId="0" applyNumberFormat="1" applyFont="1" applyBorder="1"/>
    <xf numFmtId="2" fontId="13" fillId="0" borderId="14" xfId="0" applyNumberFormat="1" applyFont="1" applyBorder="1"/>
    <xf numFmtId="2" fontId="13" fillId="0" borderId="15" xfId="0" applyNumberFormat="1" applyFont="1" applyBorder="1"/>
    <xf numFmtId="2" fontId="14" fillId="0" borderId="17" xfId="0" applyNumberFormat="1" applyFont="1" applyBorder="1"/>
    <xf numFmtId="2" fontId="13" fillId="0" borderId="36" xfId="0" applyNumberFormat="1" applyFont="1" applyBorder="1"/>
    <xf numFmtId="2" fontId="13" fillId="0" borderId="24" xfId="0" applyNumberFormat="1" applyFont="1" applyBorder="1"/>
    <xf numFmtId="0" fontId="29" fillId="0" borderId="0" xfId="0" applyFont="1" applyAlignment="1">
      <alignment horizontal="center"/>
    </xf>
    <xf numFmtId="0" fontId="30" fillId="0" borderId="0" xfId="0" applyFont="1" applyAlignment="1">
      <alignment horizontal="center"/>
    </xf>
    <xf numFmtId="0" fontId="28" fillId="0" borderId="0" xfId="1" applyAlignment="1" applyProtection="1"/>
    <xf numFmtId="0" fontId="13" fillId="4" borderId="41" xfId="0" applyFont="1" applyFill="1" applyBorder="1"/>
    <xf numFmtId="0" fontId="23" fillId="0" borderId="11" xfId="0" applyFont="1" applyBorder="1"/>
    <xf numFmtId="0" fontId="12" fillId="0" borderId="0" xfId="0" applyFont="1" applyBorder="1"/>
    <xf numFmtId="10" fontId="23" fillId="0" borderId="0" xfId="0" applyNumberFormat="1" applyFont="1" applyBorder="1"/>
    <xf numFmtId="0" fontId="12" fillId="0" borderId="11" xfId="0" applyFont="1" applyBorder="1"/>
    <xf numFmtId="2" fontId="21" fillId="0" borderId="4" xfId="0" applyNumberFormat="1" applyFont="1" applyBorder="1" applyAlignment="1">
      <alignment horizontal="right"/>
    </xf>
    <xf numFmtId="2" fontId="13" fillId="0" borderId="10" xfId="0" applyNumberFormat="1" applyFont="1" applyBorder="1"/>
    <xf numFmtId="164" fontId="13" fillId="6" borderId="1" xfId="0" applyNumberFormat="1" applyFont="1" applyFill="1" applyBorder="1"/>
    <xf numFmtId="164" fontId="13" fillId="7" borderId="1" xfId="0" applyNumberFormat="1" applyFont="1" applyFill="1" applyBorder="1"/>
    <xf numFmtId="0" fontId="22" fillId="0" borderId="14" xfId="0" applyFont="1" applyBorder="1"/>
    <xf numFmtId="2" fontId="22" fillId="8" borderId="44" xfId="0" applyNumberFormat="1" applyFont="1" applyFill="1" applyBorder="1"/>
    <xf numFmtId="164" fontId="13" fillId="8" borderId="44" xfId="0" applyNumberFormat="1" applyFont="1" applyFill="1" applyBorder="1"/>
    <xf numFmtId="0" fontId="22" fillId="0" borderId="20" xfId="0" applyFont="1" applyFill="1" applyBorder="1"/>
    <xf numFmtId="2" fontId="25" fillId="0" borderId="0" xfId="0" applyNumberFormat="1" applyFont="1" applyBorder="1"/>
    <xf numFmtId="165" fontId="22" fillId="0" borderId="0" xfId="0" applyNumberFormat="1" applyFont="1" applyBorder="1"/>
    <xf numFmtId="0" fontId="17" fillId="20" borderId="32" xfId="0" applyFont="1" applyFill="1" applyBorder="1" applyAlignment="1">
      <alignment vertical="top" wrapText="1"/>
    </xf>
    <xf numFmtId="0" fontId="13" fillId="20" borderId="33" xfId="0" applyFont="1" applyFill="1" applyBorder="1"/>
    <xf numFmtId="0" fontId="17" fillId="20" borderId="33" xfId="0" applyFont="1" applyFill="1" applyBorder="1" applyAlignment="1">
      <alignment vertical="top" wrapText="1"/>
    </xf>
    <xf numFmtId="165" fontId="13" fillId="20" borderId="33" xfId="0" applyNumberFormat="1" applyFont="1" applyFill="1" applyBorder="1"/>
    <xf numFmtId="0" fontId="13" fillId="0" borderId="14" xfId="0" applyFont="1" applyFill="1" applyBorder="1"/>
    <xf numFmtId="0" fontId="13" fillId="0" borderId="32" xfId="0" applyFont="1" applyFill="1" applyBorder="1"/>
    <xf numFmtId="166" fontId="13" fillId="0" borderId="13" xfId="0" applyNumberFormat="1" applyFont="1" applyFill="1" applyBorder="1"/>
    <xf numFmtId="166" fontId="22" fillId="6" borderId="1" xfId="0" applyNumberFormat="1" applyFont="1" applyFill="1" applyBorder="1"/>
    <xf numFmtId="166" fontId="13" fillId="0" borderId="39" xfId="0" applyNumberFormat="1" applyFont="1" applyFill="1" applyBorder="1"/>
    <xf numFmtId="0" fontId="13" fillId="10" borderId="11" xfId="0" applyFont="1" applyFill="1" applyBorder="1"/>
    <xf numFmtId="0" fontId="22" fillId="0" borderId="18" xfId="0" applyFont="1" applyBorder="1"/>
    <xf numFmtId="0" fontId="17" fillId="10" borderId="8" xfId="0" applyFont="1" applyFill="1" applyBorder="1" applyAlignment="1">
      <alignment vertical="top" wrapText="1"/>
    </xf>
    <xf numFmtId="0" fontId="18" fillId="10" borderId="0" xfId="0" applyFont="1" applyFill="1" applyBorder="1" applyAlignment="1">
      <alignment vertical="top" wrapText="1"/>
    </xf>
    <xf numFmtId="0" fontId="17" fillId="10" borderId="0" xfId="0" applyFont="1" applyFill="1" applyBorder="1" applyAlignment="1">
      <alignment vertical="top" wrapText="1"/>
    </xf>
    <xf numFmtId="0" fontId="13" fillId="10" borderId="8" xfId="0" applyFont="1" applyFill="1" applyBorder="1"/>
    <xf numFmtId="0" fontId="13" fillId="7" borderId="8" xfId="0" applyFont="1" applyFill="1" applyBorder="1"/>
    <xf numFmtId="165" fontId="13" fillId="0" borderId="7" xfId="0" applyNumberFormat="1" applyFont="1" applyBorder="1"/>
    <xf numFmtId="165" fontId="13" fillId="0" borderId="9" xfId="0" applyNumberFormat="1" applyFont="1" applyBorder="1"/>
    <xf numFmtId="0" fontId="13" fillId="0" borderId="30" xfId="0" applyFont="1" applyBorder="1"/>
    <xf numFmtId="165" fontId="13" fillId="0" borderId="25" xfId="0" applyNumberFormat="1" applyFont="1" applyBorder="1"/>
    <xf numFmtId="165" fontId="22" fillId="0" borderId="9" xfId="0" applyNumberFormat="1" applyFont="1" applyBorder="1"/>
    <xf numFmtId="165" fontId="22" fillId="7" borderId="9" xfId="0" applyNumberFormat="1" applyFont="1" applyFill="1" applyBorder="1"/>
    <xf numFmtId="165" fontId="13" fillId="7" borderId="34" xfId="0" applyNumberFormat="1" applyFont="1" applyFill="1" applyBorder="1"/>
    <xf numFmtId="165" fontId="22" fillId="7" borderId="34" xfId="0" applyNumberFormat="1" applyFont="1" applyFill="1" applyBorder="1"/>
    <xf numFmtId="165" fontId="13" fillId="7" borderId="28" xfId="0" applyNumberFormat="1" applyFont="1" applyFill="1" applyBorder="1"/>
    <xf numFmtId="0" fontId="13" fillId="10" borderId="5" xfId="0" applyFont="1" applyFill="1" applyBorder="1"/>
    <xf numFmtId="2" fontId="13" fillId="10" borderId="8" xfId="0" applyNumberFormat="1" applyFont="1" applyFill="1" applyBorder="1"/>
    <xf numFmtId="0" fontId="13" fillId="0" borderId="43" xfId="0" applyFont="1" applyBorder="1"/>
    <xf numFmtId="2" fontId="13" fillId="8" borderId="45" xfId="0" applyNumberFormat="1" applyFont="1" applyFill="1" applyBorder="1"/>
    <xf numFmtId="2" fontId="26" fillId="8" borderId="45" xfId="0" applyNumberFormat="1" applyFont="1" applyFill="1" applyBorder="1"/>
    <xf numFmtId="2" fontId="13" fillId="8" borderId="34" xfId="0" applyNumberFormat="1" applyFont="1" applyFill="1" applyBorder="1"/>
    <xf numFmtId="0" fontId="13" fillId="8" borderId="19" xfId="0" applyFont="1" applyFill="1" applyBorder="1"/>
    <xf numFmtId="0" fontId="13" fillId="0" borderId="25" xfId="0" applyFont="1" applyBorder="1"/>
    <xf numFmtId="166" fontId="22" fillId="0" borderId="9" xfId="0" applyNumberFormat="1" applyFont="1" applyBorder="1"/>
    <xf numFmtId="1" fontId="13" fillId="6" borderId="8" xfId="0" applyNumberFormat="1" applyFont="1" applyFill="1" applyBorder="1"/>
    <xf numFmtId="164" fontId="22" fillId="6" borderId="9" xfId="0" applyNumberFormat="1" applyFont="1" applyFill="1" applyBorder="1"/>
    <xf numFmtId="0" fontId="13" fillId="6" borderId="34" xfId="0" applyFont="1" applyFill="1" applyBorder="1"/>
    <xf numFmtId="166" fontId="13" fillId="6" borderId="34" xfId="0" applyNumberFormat="1" applyFont="1" applyFill="1" applyBorder="1"/>
    <xf numFmtId="0" fontId="13" fillId="6" borderId="28" xfId="0" applyFont="1" applyFill="1" applyBorder="1"/>
    <xf numFmtId="0" fontId="13" fillId="6" borderId="19" xfId="0" applyFont="1" applyFill="1" applyBorder="1"/>
    <xf numFmtId="2" fontId="13" fillId="10" borderId="45" xfId="0" applyNumberFormat="1" applyFont="1" applyFill="1" applyBorder="1"/>
    <xf numFmtId="166" fontId="23" fillId="10" borderId="2" xfId="0" applyNumberFormat="1" applyFont="1" applyFill="1" applyBorder="1"/>
    <xf numFmtId="2" fontId="13" fillId="10" borderId="34" xfId="0" applyNumberFormat="1" applyFont="1" applyFill="1" applyBorder="1"/>
    <xf numFmtId="2" fontId="13" fillId="10" borderId="27" xfId="0" applyNumberFormat="1" applyFont="1" applyFill="1" applyBorder="1"/>
    <xf numFmtId="0" fontId="13" fillId="10" borderId="36" xfId="0" applyFont="1" applyFill="1" applyBorder="1"/>
    <xf numFmtId="0" fontId="13" fillId="10" borderId="23" xfId="0" applyFont="1" applyFill="1" applyBorder="1"/>
    <xf numFmtId="0" fontId="13" fillId="10" borderId="42" xfId="0" applyFont="1" applyFill="1" applyBorder="1"/>
    <xf numFmtId="0" fontId="13" fillId="10" borderId="22" xfId="0" applyFont="1" applyFill="1" applyBorder="1"/>
    <xf numFmtId="0" fontId="22" fillId="10" borderId="17" xfId="0" applyFont="1" applyFill="1" applyBorder="1"/>
    <xf numFmtId="0" fontId="13" fillId="10" borderId="17" xfId="0" applyFont="1" applyFill="1" applyBorder="1"/>
    <xf numFmtId="0" fontId="13" fillId="10" borderId="41" xfId="0" applyFont="1" applyFill="1" applyBorder="1"/>
    <xf numFmtId="0" fontId="22" fillId="10" borderId="41" xfId="0" applyFont="1" applyFill="1" applyBorder="1"/>
    <xf numFmtId="0" fontId="22" fillId="10" borderId="42" xfId="0" applyFont="1" applyFill="1" applyBorder="1"/>
    <xf numFmtId="0" fontId="13" fillId="10" borderId="24" xfId="0" applyFont="1" applyFill="1" applyBorder="1"/>
    <xf numFmtId="1" fontId="22" fillId="10" borderId="12" xfId="0" applyNumberFormat="1" applyFont="1" applyFill="1" applyBorder="1"/>
    <xf numFmtId="0" fontId="5" fillId="0" borderId="0" xfId="0" applyFont="1" applyBorder="1" applyAlignment="1">
      <alignment vertical="top" wrapText="1"/>
    </xf>
    <xf numFmtId="0" fontId="6" fillId="0" borderId="0" xfId="0" applyFont="1" applyBorder="1" applyAlignment="1">
      <alignment vertical="top" wrapText="1"/>
    </xf>
    <xf numFmtId="166" fontId="13" fillId="0" borderId="16" xfId="0" applyNumberFormat="1" applyFont="1" applyFill="1" applyBorder="1"/>
    <xf numFmtId="166" fontId="13" fillId="0" borderId="32" xfId="0" applyNumberFormat="1" applyFont="1" applyBorder="1"/>
    <xf numFmtId="166" fontId="13" fillId="0" borderId="33" xfId="0" applyNumberFormat="1" applyFont="1" applyBorder="1"/>
    <xf numFmtId="166" fontId="22" fillId="0" borderId="33" xfId="0" applyNumberFormat="1" applyFont="1" applyBorder="1"/>
    <xf numFmtId="166" fontId="14" fillId="0" borderId="39" xfId="0" applyNumberFormat="1" applyFont="1" applyBorder="1"/>
  </cellXfs>
  <cellStyles count="2">
    <cellStyle name="Hyperlink" xfId="1" builtinId="8"/>
    <cellStyle name="Standaard" xfId="0" builtinId="0"/>
  </cellStyles>
  <dxfs count="0"/>
  <tableStyles count="0" defaultTableStyle="TableStyleMedium9" defaultPivotStyle="PivotStyleLight16"/>
  <colors>
    <mruColors>
      <color rgb="FFFDB76B"/>
      <color rgb="FFDEA900"/>
      <color rgb="FFF49E02"/>
      <color rgb="FFFFCC66"/>
      <color rgb="FFFFDA8F"/>
      <color rgb="FFFFE9BD"/>
      <color rgb="FFFFFF99"/>
      <color rgb="FFFFFF00"/>
      <color rgb="FF00CC00"/>
      <color rgb="FFFF7C8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7A EL-tot</a:t>
            </a:r>
            <a:r>
              <a:rPr lang="en-US" sz="900" baseline="0"/>
              <a:t> </a:t>
            </a:r>
            <a:r>
              <a:rPr lang="en-US" sz="900"/>
              <a:t> </a:t>
            </a:r>
          </a:p>
        </c:rich>
      </c:tx>
    </c:title>
    <c:plotArea>
      <c:layout/>
      <c:lineChart>
        <c:grouping val="standard"/>
        <c:ser>
          <c:idx val="0"/>
          <c:order val="0"/>
          <c:tx>
            <c:strRef>
              <c:f>calculation!$AH$146</c:f>
              <c:strCache>
                <c:ptCount val="1"/>
                <c:pt idx="0">
                  <c:v>pv plus er ex alu</c:v>
                </c:pt>
              </c:strCache>
            </c:strRef>
          </c:tx>
          <c:marker>
            <c:symbol val="none"/>
          </c:marker>
          <c:cat>
            <c:strRef>
              <c:f>calculation!$AG$147:$AG$150</c:f>
              <c:strCache>
                <c:ptCount val="4"/>
                <c:pt idx="0">
                  <c:v>option 0</c:v>
                </c:pt>
                <c:pt idx="1">
                  <c:v>option 1</c:v>
                </c:pt>
                <c:pt idx="2">
                  <c:v>option 2</c:v>
                </c:pt>
                <c:pt idx="3">
                  <c:v>option 3</c:v>
                </c:pt>
              </c:strCache>
            </c:strRef>
          </c:cat>
          <c:val>
            <c:numRef>
              <c:f>calculation!$AH$147:$AH$150</c:f>
              <c:numCache>
                <c:formatCode>0.00</c:formatCode>
                <c:ptCount val="4"/>
                <c:pt idx="0">
                  <c:v>514328.31669381412</c:v>
                </c:pt>
                <c:pt idx="1">
                  <c:v>187688.03951721519</c:v>
                </c:pt>
                <c:pt idx="2">
                  <c:v>156774.7153614386</c:v>
                </c:pt>
                <c:pt idx="3">
                  <c:v>143841.58994932796</c:v>
                </c:pt>
              </c:numCache>
            </c:numRef>
          </c:val>
        </c:ser>
        <c:ser>
          <c:idx val="1"/>
          <c:order val="1"/>
          <c:tx>
            <c:strRef>
              <c:f>calculation!$AI$146</c:f>
              <c:strCache>
                <c:ptCount val="1"/>
                <c:pt idx="0">
                  <c:v>insul.</c:v>
                </c:pt>
              </c:strCache>
            </c:strRef>
          </c:tx>
          <c:spPr>
            <a:ln>
              <a:solidFill>
                <a:srgbClr val="FFDA8F"/>
              </a:solidFill>
            </a:ln>
          </c:spPr>
          <c:marker>
            <c:symbol val="none"/>
          </c:marker>
          <c:cat>
            <c:strRef>
              <c:f>calculation!$AG$147:$AG$150</c:f>
              <c:strCache>
                <c:ptCount val="4"/>
                <c:pt idx="0">
                  <c:v>option 0</c:v>
                </c:pt>
                <c:pt idx="1">
                  <c:v>option 1</c:v>
                </c:pt>
                <c:pt idx="2">
                  <c:v>option 2</c:v>
                </c:pt>
                <c:pt idx="3">
                  <c:v>option 3</c:v>
                </c:pt>
              </c:strCache>
            </c:strRef>
          </c:cat>
          <c:val>
            <c:numRef>
              <c:f>calculation!$AI$147:$AI$150</c:f>
              <c:numCache>
                <c:formatCode>0.00</c:formatCode>
                <c:ptCount val="4"/>
                <c:pt idx="0" formatCode="General">
                  <c:v>0</c:v>
                </c:pt>
                <c:pt idx="1">
                  <c:v>37445.940627684155</c:v>
                </c:pt>
                <c:pt idx="2">
                  <c:v>164903.96184689968</c:v>
                </c:pt>
                <c:pt idx="3">
                  <c:v>197826.46100113002</c:v>
                </c:pt>
              </c:numCache>
            </c:numRef>
          </c:val>
        </c:ser>
        <c:ser>
          <c:idx val="2"/>
          <c:order val="2"/>
          <c:tx>
            <c:strRef>
              <c:f>calculation!$AJ$146</c:f>
              <c:strCache>
                <c:ptCount val="1"/>
                <c:pt idx="0">
                  <c:v>total</c:v>
                </c:pt>
              </c:strCache>
            </c:strRef>
          </c:tx>
          <c:marker>
            <c:symbol val="none"/>
          </c:marker>
          <c:cat>
            <c:strRef>
              <c:f>calculation!$AG$147:$AG$150</c:f>
              <c:strCache>
                <c:ptCount val="4"/>
                <c:pt idx="0">
                  <c:v>option 0</c:v>
                </c:pt>
                <c:pt idx="1">
                  <c:v>option 1</c:v>
                </c:pt>
                <c:pt idx="2">
                  <c:v>option 2</c:v>
                </c:pt>
                <c:pt idx="3">
                  <c:v>option 3</c:v>
                </c:pt>
              </c:strCache>
            </c:strRef>
          </c:cat>
          <c:val>
            <c:numRef>
              <c:f>calculation!$AJ$147:$AJ$150</c:f>
              <c:numCache>
                <c:formatCode>0.00</c:formatCode>
                <c:ptCount val="4"/>
                <c:pt idx="0">
                  <c:v>514328.31669381412</c:v>
                </c:pt>
                <c:pt idx="1">
                  <c:v>225133.98014489934</c:v>
                </c:pt>
                <c:pt idx="2">
                  <c:v>321678.67720833828</c:v>
                </c:pt>
                <c:pt idx="3">
                  <c:v>341668.05095045798</c:v>
                </c:pt>
              </c:numCache>
            </c:numRef>
          </c:val>
        </c:ser>
        <c:marker val="1"/>
        <c:axId val="60701312"/>
        <c:axId val="60711296"/>
      </c:lineChart>
      <c:catAx>
        <c:axId val="60701312"/>
        <c:scaling>
          <c:orientation val="minMax"/>
        </c:scaling>
        <c:axPos val="b"/>
        <c:numFmt formatCode="General" sourceLinked="1"/>
        <c:majorTickMark val="none"/>
        <c:tickLblPos val="nextTo"/>
        <c:crossAx val="60711296"/>
        <c:crosses val="autoZero"/>
        <c:auto val="1"/>
        <c:lblAlgn val="ctr"/>
        <c:lblOffset val="100"/>
      </c:catAx>
      <c:valAx>
        <c:axId val="60711296"/>
        <c:scaling>
          <c:orientation val="minMax"/>
        </c:scaling>
        <c:axPos val="l"/>
        <c:majorGridlines/>
        <c:title>
          <c:tx>
            <c:rich>
              <a:bodyPr/>
              <a:lstStyle/>
              <a:p>
                <a:pPr>
                  <a:defRPr b="0"/>
                </a:pPr>
                <a:r>
                  <a:rPr lang="en-US" b="0"/>
                  <a:t>EL m2year</a:t>
                </a:r>
              </a:p>
            </c:rich>
          </c:tx>
        </c:title>
        <c:numFmt formatCode="0.00" sourceLinked="1"/>
        <c:majorTickMark val="none"/>
        <c:tickLblPos val="nextTo"/>
        <c:txPr>
          <a:bodyPr/>
          <a:lstStyle/>
          <a:p>
            <a:pPr>
              <a:defRPr sz="900" baseline="0"/>
            </a:pPr>
            <a:endParaRPr lang="en-US"/>
          </a:p>
        </c:txPr>
        <c:crossAx val="60701312"/>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900" b="1" i="0" baseline="0"/>
              <a:t>Grafiek  4B only  EE-50year with storage</a:t>
            </a:r>
            <a:endParaRPr lang="en-US" sz="900"/>
          </a:p>
        </c:rich>
      </c:tx>
      <c:layout>
        <c:manualLayout>
          <c:xMode val="edge"/>
          <c:yMode val="edge"/>
          <c:x val="0.24630055571411782"/>
          <c:y val="3.5200163589911668E-2"/>
        </c:manualLayout>
      </c:layout>
    </c:title>
    <c:plotArea>
      <c:layout/>
      <c:barChart>
        <c:barDir val="col"/>
        <c:grouping val="stacked"/>
        <c:ser>
          <c:idx val="0"/>
          <c:order val="0"/>
          <c:tx>
            <c:strRef>
              <c:f>calculation!$AH$88</c:f>
              <c:strCache>
                <c:ptCount val="1"/>
                <c:pt idx="0">
                  <c:v>PV</c:v>
                </c:pt>
              </c:strCache>
            </c:strRef>
          </c:tx>
          <c:cat>
            <c:strRef>
              <c:f>calculation!$AG$89:$AG$92</c:f>
              <c:strCache>
                <c:ptCount val="4"/>
                <c:pt idx="0">
                  <c:v>option 0</c:v>
                </c:pt>
                <c:pt idx="1">
                  <c:v>option 1</c:v>
                </c:pt>
                <c:pt idx="2">
                  <c:v>option 2</c:v>
                </c:pt>
                <c:pt idx="3">
                  <c:v>option 3</c:v>
                </c:pt>
              </c:strCache>
            </c:strRef>
          </c:cat>
          <c:val>
            <c:numRef>
              <c:f>calculation!$AH$89:$AH$92</c:f>
              <c:numCache>
                <c:formatCode>0.00</c:formatCode>
                <c:ptCount val="4"/>
                <c:pt idx="0">
                  <c:v>14557.400454545454</c:v>
                </c:pt>
                <c:pt idx="1">
                  <c:v>5312.2681818181809</c:v>
                </c:pt>
                <c:pt idx="2">
                  <c:v>4437.306363636364</c:v>
                </c:pt>
                <c:pt idx="3">
                  <c:v>4071.2509090909093</c:v>
                </c:pt>
              </c:numCache>
            </c:numRef>
          </c:val>
        </c:ser>
        <c:ser>
          <c:idx val="1"/>
          <c:order val="1"/>
          <c:tx>
            <c:strRef>
              <c:f>calculation!$AI$88</c:f>
              <c:strCache>
                <c:ptCount val="1"/>
                <c:pt idx="0">
                  <c:v>ins.</c:v>
                </c:pt>
              </c:strCache>
            </c:strRef>
          </c:tx>
          <c:cat>
            <c:strRef>
              <c:f>calculation!$AG$89:$AG$92</c:f>
              <c:strCache>
                <c:ptCount val="4"/>
                <c:pt idx="0">
                  <c:v>option 0</c:v>
                </c:pt>
                <c:pt idx="1">
                  <c:v>option 1</c:v>
                </c:pt>
                <c:pt idx="2">
                  <c:v>option 2</c:v>
                </c:pt>
                <c:pt idx="3">
                  <c:v>option 3</c:v>
                </c:pt>
              </c:strCache>
            </c:strRef>
          </c:cat>
          <c:val>
            <c:numRef>
              <c:f>calculation!$AI$89:$AI$92</c:f>
              <c:numCache>
                <c:formatCode>0.00</c:formatCode>
                <c:ptCount val="4"/>
                <c:pt idx="0">
                  <c:v>0</c:v>
                </c:pt>
                <c:pt idx="1">
                  <c:v>1503.8880000000001</c:v>
                </c:pt>
                <c:pt idx="2">
                  <c:v>2902.652</c:v>
                </c:pt>
                <c:pt idx="3">
                  <c:v>4199.9560000000001</c:v>
                </c:pt>
              </c:numCache>
            </c:numRef>
          </c:val>
        </c:ser>
        <c:gapWidth val="95"/>
        <c:overlap val="100"/>
        <c:axId val="70239360"/>
        <c:axId val="70240896"/>
      </c:barChart>
      <c:catAx>
        <c:axId val="70239360"/>
        <c:scaling>
          <c:orientation val="minMax"/>
        </c:scaling>
        <c:axPos val="b"/>
        <c:majorTickMark val="none"/>
        <c:tickLblPos val="nextTo"/>
        <c:crossAx val="70240896"/>
        <c:crosses val="autoZero"/>
        <c:auto val="1"/>
        <c:lblAlgn val="ctr"/>
        <c:lblOffset val="100"/>
      </c:catAx>
      <c:valAx>
        <c:axId val="70240896"/>
        <c:scaling>
          <c:orientation val="minMax"/>
        </c:scaling>
        <c:axPos val="l"/>
        <c:majorGridlines/>
        <c:title>
          <c:tx>
            <c:rich>
              <a:bodyPr/>
              <a:lstStyle/>
              <a:p>
                <a:pPr>
                  <a:defRPr/>
                </a:pPr>
                <a:r>
                  <a:rPr lang="en-US"/>
                  <a:t>MJ/50</a:t>
                </a:r>
              </a:p>
            </c:rich>
          </c:tx>
          <c:layout/>
        </c:title>
        <c:numFmt formatCode="0.00" sourceLinked="1"/>
        <c:majorTickMark val="none"/>
        <c:tickLblPos val="nextTo"/>
        <c:crossAx val="70239360"/>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900" b="1" i="0" baseline="0"/>
              <a:t>graph 5B EL-50 from EE only</a:t>
            </a:r>
            <a:endParaRPr lang="en-US" sz="900"/>
          </a:p>
        </c:rich>
      </c:tx>
      <c:layout>
        <c:manualLayout>
          <c:xMode val="edge"/>
          <c:yMode val="edge"/>
          <c:x val="0.22530965250341628"/>
          <c:y val="2.4866785079928951E-2"/>
        </c:manualLayout>
      </c:layout>
    </c:title>
    <c:plotArea>
      <c:layout/>
      <c:barChart>
        <c:barDir val="col"/>
        <c:grouping val="stacked"/>
        <c:ser>
          <c:idx val="0"/>
          <c:order val="0"/>
          <c:tx>
            <c:strRef>
              <c:f>calculation!$AH$115</c:f>
              <c:strCache>
                <c:ptCount val="1"/>
                <c:pt idx="0">
                  <c:v>PV</c:v>
                </c:pt>
              </c:strCache>
            </c:strRef>
          </c:tx>
          <c:cat>
            <c:strRef>
              <c:f>calculation!$AG$116:$AG$119</c:f>
              <c:strCache>
                <c:ptCount val="4"/>
                <c:pt idx="0">
                  <c:v>option 0</c:v>
                </c:pt>
                <c:pt idx="1">
                  <c:v>option 1</c:v>
                </c:pt>
                <c:pt idx="2">
                  <c:v>option 2</c:v>
                </c:pt>
                <c:pt idx="3">
                  <c:v>option 3</c:v>
                </c:pt>
              </c:strCache>
            </c:strRef>
          </c:cat>
          <c:val>
            <c:numRef>
              <c:f>calculation!$AH$116:$AH$119</c:f>
              <c:numCache>
                <c:formatCode>0.00</c:formatCode>
                <c:ptCount val="4"/>
                <c:pt idx="0">
                  <c:v>153.02064078282896</c:v>
                </c:pt>
                <c:pt idx="1">
                  <c:v>55.840098905724147</c:v>
                </c:pt>
                <c:pt idx="2">
                  <c:v>46.642906144781357</c:v>
                </c:pt>
                <c:pt idx="3">
                  <c:v>42.795101010101206</c:v>
                </c:pt>
              </c:numCache>
            </c:numRef>
          </c:val>
        </c:ser>
        <c:ser>
          <c:idx val="1"/>
          <c:order val="1"/>
          <c:tx>
            <c:strRef>
              <c:f>calculation!$AI$115</c:f>
              <c:strCache>
                <c:ptCount val="1"/>
                <c:pt idx="0">
                  <c:v>ins.</c:v>
                </c:pt>
              </c:strCache>
            </c:strRef>
          </c:tx>
          <c:cat>
            <c:strRef>
              <c:f>calculation!$AG$116:$AG$119</c:f>
              <c:strCache>
                <c:ptCount val="4"/>
                <c:pt idx="0">
                  <c:v>option 0</c:v>
                </c:pt>
                <c:pt idx="1">
                  <c:v>option 1</c:v>
                </c:pt>
                <c:pt idx="2">
                  <c:v>option 2</c:v>
                </c:pt>
                <c:pt idx="3">
                  <c:v>option 3</c:v>
                </c:pt>
              </c:strCache>
            </c:strRef>
          </c:cat>
          <c:val>
            <c:numRef>
              <c:f>calculation!$AI$116:$AI$119</c:f>
              <c:numCache>
                <c:formatCode>0.00</c:formatCode>
                <c:ptCount val="4"/>
                <c:pt idx="0">
                  <c:v>0</c:v>
                </c:pt>
                <c:pt idx="1">
                  <c:v>4.4643451646090737</c:v>
                </c:pt>
                <c:pt idx="2">
                  <c:v>8.6166259859396934</c:v>
                </c:pt>
                <c:pt idx="3">
                  <c:v>12.467719178669485</c:v>
                </c:pt>
              </c:numCache>
            </c:numRef>
          </c:val>
        </c:ser>
        <c:gapWidth val="95"/>
        <c:overlap val="100"/>
        <c:axId val="70460160"/>
        <c:axId val="70461696"/>
      </c:barChart>
      <c:catAx>
        <c:axId val="70460160"/>
        <c:scaling>
          <c:orientation val="minMax"/>
        </c:scaling>
        <c:axPos val="b"/>
        <c:majorTickMark val="none"/>
        <c:tickLblPos val="nextTo"/>
        <c:crossAx val="70461696"/>
        <c:crosses val="autoZero"/>
        <c:auto val="1"/>
        <c:lblAlgn val="ctr"/>
        <c:lblOffset val="100"/>
      </c:catAx>
      <c:valAx>
        <c:axId val="70461696"/>
        <c:scaling>
          <c:orientation val="minMax"/>
        </c:scaling>
        <c:axPos val="l"/>
        <c:majorGridlines/>
        <c:title>
          <c:tx>
            <c:rich>
              <a:bodyPr/>
              <a:lstStyle/>
              <a:p>
                <a:pPr>
                  <a:defRPr/>
                </a:pPr>
                <a:r>
                  <a:rPr lang="en-US"/>
                  <a:t>EL50 m2</a:t>
                </a:r>
              </a:p>
            </c:rich>
          </c:tx>
          <c:layout/>
        </c:title>
        <c:numFmt formatCode="0.00" sourceLinked="1"/>
        <c:majorTickMark val="none"/>
        <c:tickLblPos val="nextTo"/>
        <c:crossAx val="70460160"/>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33" l="0.70000000000000062" r="0.70000000000000062" t="0.750000000000001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900" b="1" i="0" baseline="0"/>
              <a:t>Graph 6B EL-50 , from EE and PM, no ER </a:t>
            </a:r>
            <a:endParaRPr lang="en-US" sz="900"/>
          </a:p>
        </c:rich>
      </c:tx>
      <c:layout>
        <c:manualLayout>
          <c:xMode val="edge"/>
          <c:yMode val="edge"/>
          <c:x val="0.21526316964633108"/>
          <c:y val="2.1739130434782612E-2"/>
        </c:manualLayout>
      </c:layout>
    </c:title>
    <c:plotArea>
      <c:layout/>
      <c:barChart>
        <c:barDir val="col"/>
        <c:grouping val="stacked"/>
        <c:ser>
          <c:idx val="0"/>
          <c:order val="0"/>
          <c:tx>
            <c:strRef>
              <c:f>calculation!$AH$133</c:f>
              <c:strCache>
                <c:ptCount val="1"/>
                <c:pt idx="0">
                  <c:v>PV</c:v>
                </c:pt>
              </c:strCache>
            </c:strRef>
          </c:tx>
          <c:cat>
            <c:strRef>
              <c:f>calculation!$AG$134:$AG$137</c:f>
              <c:strCache>
                <c:ptCount val="4"/>
                <c:pt idx="0">
                  <c:v>option 0</c:v>
                </c:pt>
                <c:pt idx="1">
                  <c:v>option 1</c:v>
                </c:pt>
                <c:pt idx="2">
                  <c:v>option 2</c:v>
                </c:pt>
                <c:pt idx="3">
                  <c:v>option 3</c:v>
                </c:pt>
              </c:strCache>
            </c:strRef>
          </c:cat>
          <c:val>
            <c:numRef>
              <c:f>calculation!$AH$134:$AH$137</c:f>
              <c:numCache>
                <c:formatCode>0.00</c:formatCode>
                <c:ptCount val="4"/>
                <c:pt idx="0">
                  <c:v>176.74942203511745</c:v>
                </c:pt>
                <c:pt idx="1">
                  <c:v>64.499175780984274</c:v>
                </c:pt>
                <c:pt idx="2">
                  <c:v>53.875782122939825</c:v>
                </c:pt>
                <c:pt idx="3">
                  <c:v>49.431301102737542</c:v>
                </c:pt>
              </c:numCache>
            </c:numRef>
          </c:val>
        </c:ser>
        <c:ser>
          <c:idx val="1"/>
          <c:order val="1"/>
          <c:tx>
            <c:strRef>
              <c:f>calculation!$AI$133</c:f>
              <c:strCache>
                <c:ptCount val="1"/>
                <c:pt idx="0">
                  <c:v>ins.</c:v>
                </c:pt>
              </c:strCache>
            </c:strRef>
          </c:tx>
          <c:cat>
            <c:strRef>
              <c:f>calculation!$AG$134:$AG$137</c:f>
              <c:strCache>
                <c:ptCount val="4"/>
                <c:pt idx="0">
                  <c:v>option 0</c:v>
                </c:pt>
                <c:pt idx="1">
                  <c:v>option 1</c:v>
                </c:pt>
                <c:pt idx="2">
                  <c:v>option 2</c:v>
                </c:pt>
                <c:pt idx="3">
                  <c:v>option 3</c:v>
                </c:pt>
              </c:strCache>
            </c:strRef>
          </c:cat>
          <c:val>
            <c:numRef>
              <c:f>calculation!$AI$134:$AI$137</c:f>
              <c:numCache>
                <c:formatCode>0.00</c:formatCode>
                <c:ptCount val="4"/>
                <c:pt idx="0">
                  <c:v>0</c:v>
                </c:pt>
                <c:pt idx="1">
                  <c:v>150.51662739074393</c:v>
                </c:pt>
                <c:pt idx="2">
                  <c:v>277.75653888462284</c:v>
                </c:pt>
                <c:pt idx="3">
                  <c:v>420.00481783925358</c:v>
                </c:pt>
              </c:numCache>
            </c:numRef>
          </c:val>
        </c:ser>
        <c:gapWidth val="95"/>
        <c:overlap val="100"/>
        <c:axId val="70504832"/>
        <c:axId val="70506368"/>
      </c:barChart>
      <c:catAx>
        <c:axId val="70504832"/>
        <c:scaling>
          <c:orientation val="minMax"/>
        </c:scaling>
        <c:axPos val="b"/>
        <c:majorTickMark val="none"/>
        <c:tickLblPos val="nextTo"/>
        <c:crossAx val="70506368"/>
        <c:crosses val="autoZero"/>
        <c:auto val="1"/>
        <c:lblAlgn val="ctr"/>
        <c:lblOffset val="100"/>
      </c:catAx>
      <c:valAx>
        <c:axId val="70506368"/>
        <c:scaling>
          <c:orientation val="minMax"/>
        </c:scaling>
        <c:axPos val="l"/>
        <c:majorGridlines/>
        <c:title>
          <c:tx>
            <c:rich>
              <a:bodyPr/>
              <a:lstStyle/>
              <a:p>
                <a:pPr>
                  <a:defRPr/>
                </a:pPr>
                <a:r>
                  <a:rPr lang="en-US"/>
                  <a:t>EL-50 m2</a:t>
                </a:r>
              </a:p>
            </c:rich>
          </c:tx>
        </c:title>
        <c:numFmt formatCode="0.00" sourceLinked="1"/>
        <c:majorTickMark val="none"/>
        <c:tickLblPos val="nextTo"/>
        <c:crossAx val="70504832"/>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33" l="0.70000000000000062" r="0.70000000000000062" t="0.750000000000001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Graph  2B real  end use</a:t>
            </a:r>
            <a:r>
              <a:rPr lang="en-US" baseline="0"/>
              <a:t> </a:t>
            </a:r>
            <a:r>
              <a:rPr lang="en-US"/>
              <a:t>demand per year versus ee per year  over </a:t>
            </a:r>
            <a:r>
              <a:rPr lang="en-US">
                <a:solidFill>
                  <a:srgbClr val="FF0000"/>
                </a:solidFill>
              </a:rPr>
              <a:t>50 year</a:t>
            </a:r>
          </a:p>
        </c:rich>
      </c:tx>
      <c:layout/>
    </c:title>
    <c:plotArea>
      <c:layout/>
      <c:barChart>
        <c:barDir val="col"/>
        <c:grouping val="stacked"/>
        <c:ser>
          <c:idx val="0"/>
          <c:order val="0"/>
          <c:tx>
            <c:strRef>
              <c:f>calculation!$AH$26</c:f>
              <c:strCache>
                <c:ptCount val="1"/>
                <c:pt idx="0">
                  <c:v>abs e /year</c:v>
                </c:pt>
              </c:strCache>
            </c:strRef>
          </c:tx>
          <c:cat>
            <c:strRef>
              <c:f>calculation!$AG$27:$AG$30</c:f>
              <c:strCache>
                <c:ptCount val="4"/>
                <c:pt idx="0">
                  <c:v>option 0</c:v>
                </c:pt>
                <c:pt idx="1">
                  <c:v>option 1</c:v>
                </c:pt>
                <c:pt idx="2">
                  <c:v>option 2</c:v>
                </c:pt>
                <c:pt idx="3">
                  <c:v>option 3</c:v>
                </c:pt>
              </c:strCache>
            </c:strRef>
          </c:cat>
          <c:val>
            <c:numRef>
              <c:f>calculation!$AH$27:$AH$30</c:f>
              <c:numCache>
                <c:formatCode>0.0</c:formatCode>
                <c:ptCount val="4"/>
                <c:pt idx="0">
                  <c:v>51041.739130434784</c:v>
                </c:pt>
                <c:pt idx="1">
                  <c:v>18626.08695652174</c:v>
                </c:pt>
                <c:pt idx="2">
                  <c:v>15558.260869565218</c:v>
                </c:pt>
                <c:pt idx="3">
                  <c:v>14274.782608695652</c:v>
                </c:pt>
              </c:numCache>
            </c:numRef>
          </c:val>
        </c:ser>
        <c:ser>
          <c:idx val="1"/>
          <c:order val="1"/>
          <c:tx>
            <c:strRef>
              <c:f>calculation!$AI$26</c:f>
              <c:strCache>
                <c:ptCount val="1"/>
                <c:pt idx="0">
                  <c:v>ee/50year</c:v>
                </c:pt>
              </c:strCache>
            </c:strRef>
          </c:tx>
          <c:cat>
            <c:strRef>
              <c:f>calculation!$AG$27:$AG$30</c:f>
              <c:strCache>
                <c:ptCount val="4"/>
                <c:pt idx="0">
                  <c:v>option 0</c:v>
                </c:pt>
                <c:pt idx="1">
                  <c:v>option 1</c:v>
                </c:pt>
                <c:pt idx="2">
                  <c:v>option 2</c:v>
                </c:pt>
                <c:pt idx="3">
                  <c:v>option 3</c:v>
                </c:pt>
              </c:strCache>
            </c:strRef>
          </c:cat>
          <c:val>
            <c:numRef>
              <c:f>calculation!$AI$27:$AI$30</c:f>
              <c:numCache>
                <c:formatCode>0.0</c:formatCode>
                <c:ptCount val="4"/>
                <c:pt idx="0">
                  <c:v>0</c:v>
                </c:pt>
                <c:pt idx="1">
                  <c:v>1503.8880000000001</c:v>
                </c:pt>
                <c:pt idx="2">
                  <c:v>2902.652</c:v>
                </c:pt>
                <c:pt idx="3">
                  <c:v>4199.9560000000001</c:v>
                </c:pt>
              </c:numCache>
            </c:numRef>
          </c:val>
        </c:ser>
        <c:gapWidth val="95"/>
        <c:overlap val="100"/>
        <c:axId val="70335872"/>
        <c:axId val="70337664"/>
      </c:barChart>
      <c:catAx>
        <c:axId val="70335872"/>
        <c:scaling>
          <c:orientation val="minMax"/>
        </c:scaling>
        <c:axPos val="b"/>
        <c:majorTickMark val="none"/>
        <c:tickLblPos val="nextTo"/>
        <c:crossAx val="70337664"/>
        <c:crosses val="autoZero"/>
        <c:auto val="1"/>
        <c:lblAlgn val="ctr"/>
        <c:lblOffset val="100"/>
      </c:catAx>
      <c:valAx>
        <c:axId val="70337664"/>
        <c:scaling>
          <c:orientation val="minMax"/>
        </c:scaling>
        <c:axPos val="l"/>
        <c:majorGridlines/>
        <c:title>
          <c:tx>
            <c:rich>
              <a:bodyPr/>
              <a:lstStyle/>
              <a:p>
                <a:pPr>
                  <a:defRPr/>
                </a:pPr>
                <a:r>
                  <a:rPr lang="en-US"/>
                  <a:t>MJ/ 50</a:t>
                </a:r>
              </a:p>
            </c:rich>
          </c:tx>
          <c:layout/>
        </c:title>
        <c:numFmt formatCode="0.0" sourceLinked="1"/>
        <c:majorTickMark val="none"/>
        <c:tickLblPos val="nextTo"/>
        <c:crossAx val="70335872"/>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33" l="0.70000000000000062" r="0.70000000000000062" t="0.750000000000001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3A EE-without storage</a:t>
            </a:r>
          </a:p>
        </c:rich>
      </c:tx>
      <c:layout>
        <c:manualLayout>
          <c:xMode val="edge"/>
          <c:yMode val="edge"/>
          <c:x val="0.32463847921014388"/>
          <c:y val="1.9075883079581371E-2"/>
        </c:manualLayout>
      </c:layout>
    </c:title>
    <c:plotArea>
      <c:layout/>
      <c:lineChart>
        <c:grouping val="standard"/>
        <c:ser>
          <c:idx val="0"/>
          <c:order val="0"/>
          <c:tx>
            <c:strRef>
              <c:f>calculation!$AH$56</c:f>
              <c:strCache>
                <c:ptCount val="1"/>
                <c:pt idx="0">
                  <c:v>PV</c:v>
                </c:pt>
              </c:strCache>
            </c:strRef>
          </c:tx>
          <c:spPr>
            <a:ln>
              <a:solidFill>
                <a:srgbClr val="0070C0"/>
              </a:solidFill>
            </a:ln>
          </c:spPr>
          <c:marker>
            <c:symbol val="none"/>
          </c:marker>
          <c:cat>
            <c:strRef>
              <c:f>calculation!$AG$57:$AG$60</c:f>
              <c:strCache>
                <c:ptCount val="4"/>
                <c:pt idx="0">
                  <c:v>option 0</c:v>
                </c:pt>
                <c:pt idx="1">
                  <c:v>option 1</c:v>
                </c:pt>
                <c:pt idx="2">
                  <c:v>option 2</c:v>
                </c:pt>
                <c:pt idx="3">
                  <c:v>option 3</c:v>
                </c:pt>
              </c:strCache>
            </c:strRef>
          </c:cat>
          <c:val>
            <c:numRef>
              <c:f>calculation!$AH$57:$AH$60</c:f>
              <c:numCache>
                <c:formatCode>0.00</c:formatCode>
                <c:ptCount val="4"/>
                <c:pt idx="0">
                  <c:v>180837.27272727274</c:v>
                </c:pt>
                <c:pt idx="1">
                  <c:v>65990.909090909088</c:v>
                </c:pt>
                <c:pt idx="2">
                  <c:v>55121.818181818184</c:v>
                </c:pt>
                <c:pt idx="3">
                  <c:v>50574.545454545456</c:v>
                </c:pt>
              </c:numCache>
            </c:numRef>
          </c:val>
        </c:ser>
        <c:ser>
          <c:idx val="1"/>
          <c:order val="1"/>
          <c:tx>
            <c:strRef>
              <c:f>calculation!$AI$56</c:f>
              <c:strCache>
                <c:ptCount val="1"/>
                <c:pt idx="0">
                  <c:v>insulation</c:v>
                </c:pt>
              </c:strCache>
            </c:strRef>
          </c:tx>
          <c:spPr>
            <a:ln>
              <a:solidFill>
                <a:srgbClr val="FDB76B"/>
              </a:solidFill>
            </a:ln>
          </c:spPr>
          <c:marker>
            <c:symbol val="none"/>
          </c:marker>
          <c:cat>
            <c:strRef>
              <c:f>calculation!$AG$57:$AG$60</c:f>
              <c:strCache>
                <c:ptCount val="4"/>
                <c:pt idx="0">
                  <c:v>option 0</c:v>
                </c:pt>
                <c:pt idx="1">
                  <c:v>option 1</c:v>
                </c:pt>
                <c:pt idx="2">
                  <c:v>option 2</c:v>
                </c:pt>
                <c:pt idx="3">
                  <c:v>option 3</c:v>
                </c:pt>
              </c:strCache>
            </c:strRef>
          </c:cat>
          <c:val>
            <c:numRef>
              <c:f>calculation!$AI$57:$AI$60</c:f>
              <c:numCache>
                <c:formatCode>0.00</c:formatCode>
                <c:ptCount val="4"/>
                <c:pt idx="0">
                  <c:v>0</c:v>
                </c:pt>
                <c:pt idx="1">
                  <c:v>75194.400000000009</c:v>
                </c:pt>
                <c:pt idx="2">
                  <c:v>145132.6</c:v>
                </c:pt>
                <c:pt idx="3">
                  <c:v>209997.80000000002</c:v>
                </c:pt>
              </c:numCache>
            </c:numRef>
          </c:val>
        </c:ser>
        <c:ser>
          <c:idx val="2"/>
          <c:order val="2"/>
          <c:tx>
            <c:strRef>
              <c:f>calculation!$AJ$56</c:f>
              <c:strCache>
                <c:ptCount val="1"/>
              </c:strCache>
            </c:strRef>
          </c:tx>
          <c:marker>
            <c:symbol val="none"/>
          </c:marker>
          <c:cat>
            <c:strRef>
              <c:f>calculation!$AG$57:$AG$60</c:f>
              <c:strCache>
                <c:ptCount val="4"/>
                <c:pt idx="0">
                  <c:v>option 0</c:v>
                </c:pt>
                <c:pt idx="1">
                  <c:v>option 1</c:v>
                </c:pt>
                <c:pt idx="2">
                  <c:v>option 2</c:v>
                </c:pt>
                <c:pt idx="3">
                  <c:v>option 3</c:v>
                </c:pt>
              </c:strCache>
            </c:strRef>
          </c:cat>
          <c:val>
            <c:numRef>
              <c:f>calculation!$AJ$57:$AJ$60</c:f>
              <c:numCache>
                <c:formatCode>0.00</c:formatCode>
                <c:ptCount val="4"/>
                <c:pt idx="0">
                  <c:v>180837.27272727274</c:v>
                </c:pt>
                <c:pt idx="1">
                  <c:v>141185.30909090908</c:v>
                </c:pt>
                <c:pt idx="2">
                  <c:v>200254.41818181818</c:v>
                </c:pt>
                <c:pt idx="3">
                  <c:v>260572.34545454546</c:v>
                </c:pt>
              </c:numCache>
            </c:numRef>
          </c:val>
        </c:ser>
        <c:marker val="1"/>
        <c:axId val="70661248"/>
        <c:axId val="70662784"/>
      </c:lineChart>
      <c:catAx>
        <c:axId val="70661248"/>
        <c:scaling>
          <c:orientation val="minMax"/>
        </c:scaling>
        <c:axPos val="b"/>
        <c:numFmt formatCode="General" sourceLinked="1"/>
        <c:majorTickMark val="none"/>
        <c:tickLblPos val="nextTo"/>
        <c:crossAx val="70662784"/>
        <c:crosses val="autoZero"/>
        <c:auto val="1"/>
        <c:lblAlgn val="ctr"/>
        <c:lblOffset val="100"/>
      </c:catAx>
      <c:valAx>
        <c:axId val="70662784"/>
        <c:scaling>
          <c:orientation val="minMax"/>
        </c:scaling>
        <c:axPos val="l"/>
        <c:majorGridlines/>
        <c:title>
          <c:tx>
            <c:rich>
              <a:bodyPr/>
              <a:lstStyle/>
              <a:p>
                <a:pPr>
                  <a:defRPr/>
                </a:pPr>
                <a:r>
                  <a:rPr lang="en-US"/>
                  <a:t>MJ</a:t>
                </a:r>
              </a:p>
            </c:rich>
          </c:tx>
          <c:layout/>
        </c:title>
        <c:numFmt formatCode="0.00" sourceLinked="1"/>
        <c:majorTickMark val="none"/>
        <c:tickLblPos val="nextTo"/>
        <c:crossAx val="70661248"/>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3B EE-50 year,</a:t>
            </a:r>
            <a:r>
              <a:rPr lang="en-US" sz="900" baseline="0"/>
              <a:t> without storage</a:t>
            </a:r>
            <a:endParaRPr lang="en-US" sz="900"/>
          </a:p>
        </c:rich>
      </c:tx>
      <c:layout>
        <c:manualLayout>
          <c:xMode val="edge"/>
          <c:yMode val="edge"/>
          <c:x val="0.29856000000000038"/>
          <c:y val="3.4515819750719122E-2"/>
        </c:manualLayout>
      </c:layout>
    </c:title>
    <c:plotArea>
      <c:layout/>
      <c:lineChart>
        <c:grouping val="standard"/>
        <c:ser>
          <c:idx val="0"/>
          <c:order val="0"/>
          <c:marker>
            <c:symbol val="none"/>
          </c:marker>
          <c:cat>
            <c:strRef>
              <c:f>calculation!$AG$63:$AG$66</c:f>
              <c:strCache>
                <c:ptCount val="4"/>
                <c:pt idx="0">
                  <c:v>option 0</c:v>
                </c:pt>
                <c:pt idx="1">
                  <c:v>option 1</c:v>
                </c:pt>
                <c:pt idx="2">
                  <c:v>option 2</c:v>
                </c:pt>
                <c:pt idx="3">
                  <c:v>option 3</c:v>
                </c:pt>
              </c:strCache>
            </c:strRef>
          </c:cat>
          <c:val>
            <c:numRef>
              <c:f>calculation!$AH$63:$AH$66</c:f>
              <c:numCache>
                <c:formatCode>0.00</c:formatCode>
                <c:ptCount val="4"/>
                <c:pt idx="0">
                  <c:v>7233.4909090909096</c:v>
                </c:pt>
                <c:pt idx="1">
                  <c:v>2639.6363636363635</c:v>
                </c:pt>
                <c:pt idx="2">
                  <c:v>2204.8727272727274</c:v>
                </c:pt>
                <c:pt idx="3">
                  <c:v>2022.9818181818182</c:v>
                </c:pt>
              </c:numCache>
            </c:numRef>
          </c:val>
        </c:ser>
        <c:ser>
          <c:idx val="1"/>
          <c:order val="1"/>
          <c:spPr>
            <a:ln>
              <a:solidFill>
                <a:srgbClr val="FDB76B"/>
              </a:solidFill>
            </a:ln>
          </c:spPr>
          <c:marker>
            <c:symbol val="none"/>
          </c:marker>
          <c:cat>
            <c:strRef>
              <c:f>calculation!$AG$63:$AG$66</c:f>
              <c:strCache>
                <c:ptCount val="4"/>
                <c:pt idx="0">
                  <c:v>option 0</c:v>
                </c:pt>
                <c:pt idx="1">
                  <c:v>option 1</c:v>
                </c:pt>
                <c:pt idx="2">
                  <c:v>option 2</c:v>
                </c:pt>
                <c:pt idx="3">
                  <c:v>option 3</c:v>
                </c:pt>
              </c:strCache>
            </c:strRef>
          </c:cat>
          <c:val>
            <c:numRef>
              <c:f>calculation!$AI$63:$AI$66</c:f>
              <c:numCache>
                <c:formatCode>0.00</c:formatCode>
                <c:ptCount val="4"/>
                <c:pt idx="0">
                  <c:v>0</c:v>
                </c:pt>
                <c:pt idx="1">
                  <c:v>1503.8880000000001</c:v>
                </c:pt>
                <c:pt idx="2">
                  <c:v>2902.652</c:v>
                </c:pt>
                <c:pt idx="3">
                  <c:v>4199.9560000000001</c:v>
                </c:pt>
              </c:numCache>
            </c:numRef>
          </c:val>
        </c:ser>
        <c:ser>
          <c:idx val="2"/>
          <c:order val="2"/>
          <c:marker>
            <c:symbol val="none"/>
          </c:marker>
          <c:cat>
            <c:strRef>
              <c:f>calculation!$AG$63:$AG$66</c:f>
              <c:strCache>
                <c:ptCount val="4"/>
                <c:pt idx="0">
                  <c:v>option 0</c:v>
                </c:pt>
                <c:pt idx="1">
                  <c:v>option 1</c:v>
                </c:pt>
                <c:pt idx="2">
                  <c:v>option 2</c:v>
                </c:pt>
                <c:pt idx="3">
                  <c:v>option 3</c:v>
                </c:pt>
              </c:strCache>
            </c:strRef>
          </c:cat>
          <c:val>
            <c:numRef>
              <c:f>calculation!$AJ$63:$AJ$66</c:f>
              <c:numCache>
                <c:formatCode>0.00</c:formatCode>
                <c:ptCount val="4"/>
                <c:pt idx="0">
                  <c:v>7233.4909090909096</c:v>
                </c:pt>
                <c:pt idx="1">
                  <c:v>4143.5243636363639</c:v>
                </c:pt>
                <c:pt idx="2">
                  <c:v>5107.5247272727274</c:v>
                </c:pt>
                <c:pt idx="3">
                  <c:v>6222.9378181818183</c:v>
                </c:pt>
              </c:numCache>
            </c:numRef>
          </c:val>
        </c:ser>
        <c:marker val="1"/>
        <c:axId val="70690304"/>
        <c:axId val="70691840"/>
      </c:lineChart>
      <c:catAx>
        <c:axId val="70690304"/>
        <c:scaling>
          <c:orientation val="minMax"/>
        </c:scaling>
        <c:axPos val="b"/>
        <c:majorTickMark val="none"/>
        <c:tickLblPos val="nextTo"/>
        <c:crossAx val="70691840"/>
        <c:crosses val="autoZero"/>
        <c:auto val="1"/>
        <c:lblAlgn val="ctr"/>
        <c:lblOffset val="100"/>
      </c:catAx>
      <c:valAx>
        <c:axId val="70691840"/>
        <c:scaling>
          <c:orientation val="minMax"/>
        </c:scaling>
        <c:axPos val="l"/>
        <c:majorGridlines/>
        <c:title>
          <c:tx>
            <c:rich>
              <a:bodyPr/>
              <a:lstStyle/>
              <a:p>
                <a:pPr>
                  <a:defRPr/>
                </a:pPr>
                <a:r>
                  <a:rPr lang="en-US"/>
                  <a:t>MJ/50</a:t>
                </a:r>
              </a:p>
            </c:rich>
          </c:tx>
          <c:layout/>
        </c:title>
        <c:numFmt formatCode="0.00" sourceLinked="1"/>
        <c:majorTickMark val="none"/>
        <c:tickLblPos val="nextTo"/>
        <c:crossAx val="70690304"/>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167" l="0.70000000000000062" r="0.70000000000000062" t="0.7500000000000016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0" i="0" baseline="0"/>
              <a:t>graph 7B EL-50 tot</a:t>
            </a:r>
          </a:p>
        </c:rich>
      </c:tx>
      <c:layout>
        <c:manualLayout>
          <c:xMode val="edge"/>
          <c:yMode val="edge"/>
          <c:x val="0.24701578969295529"/>
          <c:y val="2.756244616709733E-2"/>
        </c:manualLayout>
      </c:layout>
    </c:title>
    <c:plotArea>
      <c:layout/>
      <c:barChart>
        <c:barDir val="col"/>
        <c:grouping val="stacked"/>
        <c:ser>
          <c:idx val="0"/>
          <c:order val="0"/>
          <c:tx>
            <c:strRef>
              <c:f>calculation!$AH$154</c:f>
              <c:strCache>
                <c:ptCount val="1"/>
                <c:pt idx="0">
                  <c:v>PV</c:v>
                </c:pt>
              </c:strCache>
            </c:strRef>
          </c:tx>
          <c:spPr>
            <a:solidFill>
              <a:schemeClr val="tx1">
                <a:lumMod val="65000"/>
                <a:lumOff val="35000"/>
              </a:schemeClr>
            </a:solidFill>
          </c:spPr>
          <c:cat>
            <c:strRef>
              <c:f>calculation!$AG$155:$AG$158</c:f>
              <c:strCache>
                <c:ptCount val="4"/>
                <c:pt idx="0">
                  <c:v>option 0</c:v>
                </c:pt>
                <c:pt idx="1">
                  <c:v>option 1</c:v>
                </c:pt>
                <c:pt idx="2">
                  <c:v>option 2</c:v>
                </c:pt>
                <c:pt idx="3">
                  <c:v>option 3</c:v>
                </c:pt>
              </c:strCache>
            </c:strRef>
          </c:cat>
          <c:val>
            <c:numRef>
              <c:f>calculation!$AH$155:$AH$158</c:f>
              <c:numCache>
                <c:formatCode>0.00</c:formatCode>
                <c:ptCount val="4"/>
                <c:pt idx="0">
                  <c:v>20687.682704116203</c:v>
                </c:pt>
                <c:pt idx="1">
                  <c:v>7549.3230352340615</c:v>
                </c:pt>
                <c:pt idx="2">
                  <c:v>6305.905123548453</c:v>
                </c:pt>
                <c:pt idx="3">
                  <c:v>5785.6996707003909</c:v>
                </c:pt>
              </c:numCache>
            </c:numRef>
          </c:val>
        </c:ser>
        <c:ser>
          <c:idx val="1"/>
          <c:order val="1"/>
          <c:tx>
            <c:strRef>
              <c:f>calculation!$AI$154</c:f>
              <c:strCache>
                <c:ptCount val="1"/>
                <c:pt idx="0">
                  <c:v>insul.</c:v>
                </c:pt>
              </c:strCache>
            </c:strRef>
          </c:tx>
          <c:spPr>
            <a:solidFill>
              <a:schemeClr val="bg1">
                <a:lumMod val="65000"/>
              </a:schemeClr>
            </a:solidFill>
          </c:spPr>
          <c:cat>
            <c:strRef>
              <c:f>calculation!$AG$155:$AG$158</c:f>
              <c:strCache>
                <c:ptCount val="4"/>
                <c:pt idx="0">
                  <c:v>option 0</c:v>
                </c:pt>
                <c:pt idx="1">
                  <c:v>option 1</c:v>
                </c:pt>
                <c:pt idx="2">
                  <c:v>option 2</c:v>
                </c:pt>
                <c:pt idx="3">
                  <c:v>option 3</c:v>
                </c:pt>
              </c:strCache>
            </c:strRef>
          </c:cat>
          <c:val>
            <c:numRef>
              <c:f>calculation!$AI$155:$AI$158</c:f>
              <c:numCache>
                <c:formatCode>0.00</c:formatCode>
                <c:ptCount val="4"/>
                <c:pt idx="0">
                  <c:v>0</c:v>
                </c:pt>
                <c:pt idx="1">
                  <c:v>748.9188125536831</c:v>
                </c:pt>
                <c:pt idx="2">
                  <c:v>3298.0792369379938</c:v>
                </c:pt>
                <c:pt idx="3">
                  <c:v>3956.5292200226004</c:v>
                </c:pt>
              </c:numCache>
            </c:numRef>
          </c:val>
        </c:ser>
        <c:gapWidth val="95"/>
        <c:overlap val="100"/>
        <c:axId val="70579712"/>
        <c:axId val="70581248"/>
      </c:barChart>
      <c:catAx>
        <c:axId val="70579712"/>
        <c:scaling>
          <c:orientation val="minMax"/>
        </c:scaling>
        <c:axPos val="b"/>
        <c:majorTickMark val="none"/>
        <c:tickLblPos val="nextTo"/>
        <c:crossAx val="70581248"/>
        <c:crosses val="autoZero"/>
        <c:auto val="1"/>
        <c:lblAlgn val="ctr"/>
        <c:lblOffset val="100"/>
      </c:catAx>
      <c:valAx>
        <c:axId val="70581248"/>
        <c:scaling>
          <c:orientation val="minMax"/>
        </c:scaling>
        <c:axPos val="l"/>
        <c:majorGridlines/>
        <c:title/>
        <c:numFmt formatCode="0.00" sourceLinked="1"/>
        <c:majorTickMark val="none"/>
        <c:tickLblPos val="nextTo"/>
        <c:crossAx val="70579712"/>
        <c:crosses val="autoZero"/>
        <c:crossBetween val="between"/>
      </c:valAx>
      <c:dTable>
        <c:showHorzBorder val="1"/>
        <c:showVertBorder val="1"/>
        <c:showOutline val="1"/>
        <c:showKeys val="1"/>
      </c:dTable>
    </c:plotArea>
    <c:plotVisOnly val="1"/>
  </c:chart>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Graph 6A EL , from EE and PM, no ER </a:t>
            </a:r>
          </a:p>
        </c:rich>
      </c:tx>
      <c:layout>
        <c:manualLayout>
          <c:xMode val="edge"/>
          <c:yMode val="edge"/>
          <c:x val="0.2857729000290789"/>
          <c:y val="2.2222222222222251E-2"/>
        </c:manualLayout>
      </c:layout>
    </c:title>
    <c:plotArea>
      <c:layout/>
      <c:lineChart>
        <c:grouping val="standard"/>
        <c:ser>
          <c:idx val="0"/>
          <c:order val="0"/>
          <c:tx>
            <c:strRef>
              <c:f>calculation!$AH$125</c:f>
              <c:strCache>
                <c:ptCount val="1"/>
                <c:pt idx="0">
                  <c:v>PV</c:v>
                </c:pt>
              </c:strCache>
            </c:strRef>
          </c:tx>
          <c:marker>
            <c:symbol val="none"/>
          </c:marker>
          <c:cat>
            <c:strRef>
              <c:f>calculation!$AG$126:$AG$129</c:f>
              <c:strCache>
                <c:ptCount val="4"/>
                <c:pt idx="0">
                  <c:v>option 0</c:v>
                </c:pt>
                <c:pt idx="1">
                  <c:v>option 1</c:v>
                </c:pt>
                <c:pt idx="2">
                  <c:v>option 2</c:v>
                </c:pt>
                <c:pt idx="3">
                  <c:v>option 3</c:v>
                </c:pt>
              </c:strCache>
            </c:strRef>
          </c:cat>
          <c:val>
            <c:numRef>
              <c:f>calculation!$AH$126:$AH$129</c:f>
              <c:numCache>
                <c:formatCode>0.00</c:formatCode>
                <c:ptCount val="4"/>
                <c:pt idx="0">
                  <c:v>1554.9846417870272</c:v>
                </c:pt>
                <c:pt idx="1">
                  <c:v>567.44303088824347</c:v>
                </c:pt>
                <c:pt idx="2">
                  <c:v>473.98182580076821</c:v>
                </c:pt>
                <c:pt idx="3">
                  <c:v>434.88070938662031</c:v>
                </c:pt>
              </c:numCache>
            </c:numRef>
          </c:val>
        </c:ser>
        <c:ser>
          <c:idx val="1"/>
          <c:order val="1"/>
          <c:tx>
            <c:strRef>
              <c:f>calculation!$AI$125</c:f>
              <c:strCache>
                <c:ptCount val="1"/>
                <c:pt idx="0">
                  <c:v>ins.</c:v>
                </c:pt>
              </c:strCache>
            </c:strRef>
          </c:tx>
          <c:spPr>
            <a:ln>
              <a:solidFill>
                <a:srgbClr val="FDB76B"/>
              </a:solidFill>
            </a:ln>
          </c:spPr>
          <c:marker>
            <c:symbol val="none"/>
          </c:marker>
          <c:cat>
            <c:strRef>
              <c:f>calculation!$AG$126:$AG$129</c:f>
              <c:strCache>
                <c:ptCount val="4"/>
                <c:pt idx="0">
                  <c:v>option 0</c:v>
                </c:pt>
                <c:pt idx="1">
                  <c:v>option 1</c:v>
                </c:pt>
                <c:pt idx="2">
                  <c:v>option 2</c:v>
                </c:pt>
                <c:pt idx="3">
                  <c:v>option 3</c:v>
                </c:pt>
              </c:strCache>
            </c:strRef>
          </c:cat>
          <c:val>
            <c:numRef>
              <c:f>calculation!$AI$126:$AI$129</c:f>
              <c:numCache>
                <c:formatCode>0.00</c:formatCode>
                <c:ptCount val="4"/>
                <c:pt idx="0" formatCode="General">
                  <c:v>0</c:v>
                </c:pt>
                <c:pt idx="1">
                  <c:v>7525.8313695371971</c:v>
                </c:pt>
                <c:pt idx="2">
                  <c:v>13887.826944231143</c:v>
                </c:pt>
                <c:pt idx="3">
                  <c:v>21000.24089196268</c:v>
                </c:pt>
              </c:numCache>
            </c:numRef>
          </c:val>
        </c:ser>
        <c:ser>
          <c:idx val="2"/>
          <c:order val="2"/>
          <c:tx>
            <c:strRef>
              <c:f>calculation!$AJ$125</c:f>
              <c:strCache>
                <c:ptCount val="1"/>
                <c:pt idx="0">
                  <c:v>combi</c:v>
                </c:pt>
              </c:strCache>
            </c:strRef>
          </c:tx>
          <c:marker>
            <c:symbol val="none"/>
          </c:marker>
          <c:cat>
            <c:strRef>
              <c:f>calculation!$AG$126:$AG$129</c:f>
              <c:strCache>
                <c:ptCount val="4"/>
                <c:pt idx="0">
                  <c:v>option 0</c:v>
                </c:pt>
                <c:pt idx="1">
                  <c:v>option 1</c:v>
                </c:pt>
                <c:pt idx="2">
                  <c:v>option 2</c:v>
                </c:pt>
                <c:pt idx="3">
                  <c:v>option 3</c:v>
                </c:pt>
              </c:strCache>
            </c:strRef>
          </c:cat>
          <c:val>
            <c:numRef>
              <c:f>calculation!$AJ$126:$AJ$129</c:f>
              <c:numCache>
                <c:formatCode>0.00</c:formatCode>
                <c:ptCount val="4"/>
                <c:pt idx="0">
                  <c:v>1554.9846417870272</c:v>
                </c:pt>
                <c:pt idx="1">
                  <c:v>8093.2744004254409</c:v>
                </c:pt>
                <c:pt idx="2">
                  <c:v>14361.808770031912</c:v>
                </c:pt>
                <c:pt idx="3">
                  <c:v>21435.121601349299</c:v>
                </c:pt>
              </c:numCache>
            </c:numRef>
          </c:val>
        </c:ser>
        <c:marker val="1"/>
        <c:axId val="60747136"/>
        <c:axId val="58926208"/>
      </c:lineChart>
      <c:catAx>
        <c:axId val="60747136"/>
        <c:scaling>
          <c:orientation val="minMax"/>
        </c:scaling>
        <c:axPos val="b"/>
        <c:numFmt formatCode="General" sourceLinked="1"/>
        <c:majorTickMark val="none"/>
        <c:tickLblPos val="nextTo"/>
        <c:crossAx val="58926208"/>
        <c:crosses val="autoZero"/>
        <c:auto val="1"/>
        <c:lblAlgn val="ctr"/>
        <c:lblOffset val="100"/>
      </c:catAx>
      <c:valAx>
        <c:axId val="58926208"/>
        <c:scaling>
          <c:orientation val="minMax"/>
        </c:scaling>
        <c:axPos val="l"/>
        <c:majorGridlines/>
        <c:title>
          <c:tx>
            <c:rich>
              <a:bodyPr/>
              <a:lstStyle/>
              <a:p>
                <a:pPr>
                  <a:defRPr/>
                </a:pPr>
                <a:r>
                  <a:rPr lang="en-US"/>
                  <a:t>EL </a:t>
                </a:r>
                <a:r>
                  <a:rPr lang="en-US" b="0"/>
                  <a:t>m2-year</a:t>
                </a:r>
              </a:p>
            </c:rich>
          </c:tx>
        </c:title>
        <c:numFmt formatCode="0.00" sourceLinked="1"/>
        <c:majorTickMark val="none"/>
        <c:tickLblPos val="nextTo"/>
        <c:txPr>
          <a:bodyPr/>
          <a:lstStyle/>
          <a:p>
            <a:pPr>
              <a:defRPr sz="900" baseline="0"/>
            </a:pPr>
            <a:endParaRPr lang="en-US"/>
          </a:p>
        </c:txPr>
        <c:crossAx val="60747136"/>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0" baseline="0"/>
              <a:t>Graph 6B EL-50 , from EE and PM, no ER </a:t>
            </a:r>
            <a:endParaRPr lang="en-US" sz="900"/>
          </a:p>
        </c:rich>
      </c:tx>
      <c:layout>
        <c:manualLayout>
          <c:xMode val="edge"/>
          <c:yMode val="edge"/>
          <c:x val="0.26868074445239776"/>
          <c:y val="2.5627909649979925E-2"/>
        </c:manualLayout>
      </c:layout>
    </c:title>
    <c:plotArea>
      <c:layout/>
      <c:lineChart>
        <c:grouping val="standard"/>
        <c:ser>
          <c:idx val="0"/>
          <c:order val="0"/>
          <c:tx>
            <c:strRef>
              <c:f>calculation!$AH$133</c:f>
              <c:strCache>
                <c:ptCount val="1"/>
                <c:pt idx="0">
                  <c:v>PV</c:v>
                </c:pt>
              </c:strCache>
            </c:strRef>
          </c:tx>
          <c:marker>
            <c:symbol val="none"/>
          </c:marker>
          <c:cat>
            <c:strRef>
              <c:f>calculation!$AG$134:$AG$137</c:f>
              <c:strCache>
                <c:ptCount val="4"/>
                <c:pt idx="0">
                  <c:v>option 0</c:v>
                </c:pt>
                <c:pt idx="1">
                  <c:v>option 1</c:v>
                </c:pt>
                <c:pt idx="2">
                  <c:v>option 2</c:v>
                </c:pt>
                <c:pt idx="3">
                  <c:v>option 3</c:v>
                </c:pt>
              </c:strCache>
            </c:strRef>
          </c:cat>
          <c:val>
            <c:numRef>
              <c:f>calculation!$AH$134:$AH$137</c:f>
              <c:numCache>
                <c:formatCode>0.00</c:formatCode>
                <c:ptCount val="4"/>
                <c:pt idx="0">
                  <c:v>176.74942203511745</c:v>
                </c:pt>
                <c:pt idx="1">
                  <c:v>64.499175780984274</c:v>
                </c:pt>
                <c:pt idx="2">
                  <c:v>53.875782122939825</c:v>
                </c:pt>
                <c:pt idx="3">
                  <c:v>49.431301102737542</c:v>
                </c:pt>
              </c:numCache>
            </c:numRef>
          </c:val>
        </c:ser>
        <c:ser>
          <c:idx val="1"/>
          <c:order val="1"/>
          <c:tx>
            <c:strRef>
              <c:f>calculation!$AI$133</c:f>
              <c:strCache>
                <c:ptCount val="1"/>
                <c:pt idx="0">
                  <c:v>ins.</c:v>
                </c:pt>
              </c:strCache>
            </c:strRef>
          </c:tx>
          <c:spPr>
            <a:ln>
              <a:solidFill>
                <a:srgbClr val="FFC000"/>
              </a:solidFill>
            </a:ln>
          </c:spPr>
          <c:marker>
            <c:symbol val="none"/>
          </c:marker>
          <c:cat>
            <c:strRef>
              <c:f>calculation!$AG$134:$AG$137</c:f>
              <c:strCache>
                <c:ptCount val="4"/>
                <c:pt idx="0">
                  <c:v>option 0</c:v>
                </c:pt>
                <c:pt idx="1">
                  <c:v>option 1</c:v>
                </c:pt>
                <c:pt idx="2">
                  <c:v>option 2</c:v>
                </c:pt>
                <c:pt idx="3">
                  <c:v>option 3</c:v>
                </c:pt>
              </c:strCache>
            </c:strRef>
          </c:cat>
          <c:val>
            <c:numRef>
              <c:f>calculation!$AI$134:$AI$137</c:f>
              <c:numCache>
                <c:formatCode>0.00</c:formatCode>
                <c:ptCount val="4"/>
                <c:pt idx="0">
                  <c:v>0</c:v>
                </c:pt>
                <c:pt idx="1">
                  <c:v>150.51662739074393</c:v>
                </c:pt>
                <c:pt idx="2">
                  <c:v>277.75653888462284</c:v>
                </c:pt>
                <c:pt idx="3">
                  <c:v>420.00481783925358</c:v>
                </c:pt>
              </c:numCache>
            </c:numRef>
          </c:val>
        </c:ser>
        <c:ser>
          <c:idx val="2"/>
          <c:order val="2"/>
          <c:tx>
            <c:strRef>
              <c:f>calculation!$AJ$133</c:f>
              <c:strCache>
                <c:ptCount val="1"/>
                <c:pt idx="0">
                  <c:v>totaal</c:v>
                </c:pt>
              </c:strCache>
            </c:strRef>
          </c:tx>
          <c:marker>
            <c:symbol val="none"/>
          </c:marker>
          <c:cat>
            <c:strRef>
              <c:f>calculation!$AG$134:$AG$137</c:f>
              <c:strCache>
                <c:ptCount val="4"/>
                <c:pt idx="0">
                  <c:v>option 0</c:v>
                </c:pt>
                <c:pt idx="1">
                  <c:v>option 1</c:v>
                </c:pt>
                <c:pt idx="2">
                  <c:v>option 2</c:v>
                </c:pt>
                <c:pt idx="3">
                  <c:v>option 3</c:v>
                </c:pt>
              </c:strCache>
            </c:strRef>
          </c:cat>
          <c:val>
            <c:numRef>
              <c:f>calculation!$AJ$134:$AJ$137</c:f>
              <c:numCache>
                <c:formatCode>0.00</c:formatCode>
                <c:ptCount val="4"/>
                <c:pt idx="0">
                  <c:v>176.74942203511745</c:v>
                </c:pt>
                <c:pt idx="1">
                  <c:v>215.01580317172821</c:v>
                </c:pt>
                <c:pt idx="2">
                  <c:v>331.63232100756267</c:v>
                </c:pt>
                <c:pt idx="3">
                  <c:v>469.43611894199114</c:v>
                </c:pt>
              </c:numCache>
            </c:numRef>
          </c:val>
        </c:ser>
        <c:marker val="1"/>
        <c:axId val="58970112"/>
        <c:axId val="58971648"/>
      </c:lineChart>
      <c:catAx>
        <c:axId val="58970112"/>
        <c:scaling>
          <c:orientation val="minMax"/>
        </c:scaling>
        <c:axPos val="b"/>
        <c:numFmt formatCode="General" sourceLinked="1"/>
        <c:majorTickMark val="none"/>
        <c:tickLblPos val="nextTo"/>
        <c:crossAx val="58971648"/>
        <c:crosses val="autoZero"/>
        <c:auto val="1"/>
        <c:lblAlgn val="ctr"/>
        <c:lblOffset val="100"/>
      </c:catAx>
      <c:valAx>
        <c:axId val="58971648"/>
        <c:scaling>
          <c:orientation val="minMax"/>
        </c:scaling>
        <c:axPos val="l"/>
        <c:majorGridlines/>
        <c:title>
          <c:tx>
            <c:rich>
              <a:bodyPr/>
              <a:lstStyle/>
              <a:p>
                <a:pPr>
                  <a:defRPr/>
                </a:pPr>
                <a:r>
                  <a:rPr lang="en-US"/>
                  <a:t>EL-50  m2</a:t>
                </a:r>
              </a:p>
            </c:rich>
          </c:tx>
        </c:title>
        <c:numFmt formatCode="0.00" sourceLinked="1"/>
        <c:majorTickMark val="none"/>
        <c:tickLblPos val="nextTo"/>
        <c:txPr>
          <a:bodyPr/>
          <a:lstStyle/>
          <a:p>
            <a:pPr>
              <a:defRPr sz="900" baseline="0"/>
            </a:pPr>
            <a:endParaRPr lang="en-US"/>
          </a:p>
        </c:txPr>
        <c:crossAx val="58970112"/>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0"/>
              <a:t>graph</a:t>
            </a:r>
            <a:r>
              <a:rPr lang="en-US" sz="900" b="0" baseline="0"/>
              <a:t> 7B EL-50 tot</a:t>
            </a:r>
            <a:endParaRPr lang="en-US" sz="900" b="0"/>
          </a:p>
        </c:rich>
      </c:tx>
      <c:layout>
        <c:manualLayout>
          <c:xMode val="edge"/>
          <c:yMode val="edge"/>
          <c:x val="0.28499578177727825"/>
          <c:y val="2.4789497635037287E-2"/>
        </c:manualLayout>
      </c:layout>
    </c:title>
    <c:plotArea>
      <c:layout/>
      <c:lineChart>
        <c:grouping val="standard"/>
        <c:ser>
          <c:idx val="0"/>
          <c:order val="0"/>
          <c:tx>
            <c:strRef>
              <c:f>calculation!$AH$154</c:f>
              <c:strCache>
                <c:ptCount val="1"/>
                <c:pt idx="0">
                  <c:v>PV</c:v>
                </c:pt>
              </c:strCache>
            </c:strRef>
          </c:tx>
          <c:marker>
            <c:symbol val="none"/>
          </c:marker>
          <c:cat>
            <c:strRef>
              <c:f>calculation!$AG$159:$AH$162</c:f>
              <c:strCache>
                <c:ptCount val="4"/>
                <c:pt idx="3">
                  <c:v> </c:v>
                </c:pt>
              </c:strCache>
            </c:strRef>
          </c:cat>
          <c:val>
            <c:numRef>
              <c:f>calculation!$AH$155:$AH$158</c:f>
              <c:numCache>
                <c:formatCode>0.00</c:formatCode>
                <c:ptCount val="4"/>
                <c:pt idx="0">
                  <c:v>20687.682704116203</c:v>
                </c:pt>
                <c:pt idx="1">
                  <c:v>7549.3230352340615</c:v>
                </c:pt>
                <c:pt idx="2">
                  <c:v>6305.905123548453</c:v>
                </c:pt>
                <c:pt idx="3">
                  <c:v>5785.6996707003909</c:v>
                </c:pt>
              </c:numCache>
            </c:numRef>
          </c:val>
        </c:ser>
        <c:ser>
          <c:idx val="1"/>
          <c:order val="1"/>
          <c:tx>
            <c:strRef>
              <c:f>calculation!$AI$154</c:f>
              <c:strCache>
                <c:ptCount val="1"/>
                <c:pt idx="0">
                  <c:v>insul.</c:v>
                </c:pt>
              </c:strCache>
            </c:strRef>
          </c:tx>
          <c:spPr>
            <a:ln>
              <a:solidFill>
                <a:srgbClr val="FFCC66"/>
              </a:solidFill>
            </a:ln>
          </c:spPr>
          <c:marker>
            <c:symbol val="none"/>
          </c:marker>
          <c:cat>
            <c:strRef>
              <c:f>calculation!$AG$159:$AH$162</c:f>
              <c:strCache>
                <c:ptCount val="4"/>
                <c:pt idx="3">
                  <c:v> </c:v>
                </c:pt>
              </c:strCache>
            </c:strRef>
          </c:cat>
          <c:val>
            <c:numRef>
              <c:f>calculation!$AI$155:$AI$158</c:f>
              <c:numCache>
                <c:formatCode>0.00</c:formatCode>
                <c:ptCount val="4"/>
                <c:pt idx="0">
                  <c:v>0</c:v>
                </c:pt>
                <c:pt idx="1">
                  <c:v>748.9188125536831</c:v>
                </c:pt>
                <c:pt idx="2">
                  <c:v>3298.0792369379938</c:v>
                </c:pt>
                <c:pt idx="3">
                  <c:v>3956.5292200226004</c:v>
                </c:pt>
              </c:numCache>
            </c:numRef>
          </c:val>
        </c:ser>
        <c:ser>
          <c:idx val="2"/>
          <c:order val="2"/>
          <c:tx>
            <c:strRef>
              <c:f>calculation!$AJ$154</c:f>
              <c:strCache>
                <c:ptCount val="1"/>
                <c:pt idx="0">
                  <c:v>total</c:v>
                </c:pt>
              </c:strCache>
            </c:strRef>
          </c:tx>
          <c:marker>
            <c:symbol val="none"/>
          </c:marker>
          <c:cat>
            <c:strRef>
              <c:f>calculation!$AG$159:$AH$162</c:f>
              <c:strCache>
                <c:ptCount val="4"/>
                <c:pt idx="3">
                  <c:v> </c:v>
                </c:pt>
              </c:strCache>
            </c:strRef>
          </c:cat>
          <c:val>
            <c:numRef>
              <c:f>calculation!$AJ$155:$AJ$158</c:f>
              <c:numCache>
                <c:formatCode>0.00</c:formatCode>
                <c:ptCount val="4"/>
                <c:pt idx="0">
                  <c:v>20687.682704116203</c:v>
                </c:pt>
                <c:pt idx="1">
                  <c:v>8298.2418477877454</c:v>
                </c:pt>
                <c:pt idx="2">
                  <c:v>9603.9843604864473</c:v>
                </c:pt>
                <c:pt idx="3">
                  <c:v>9742.2288907229922</c:v>
                </c:pt>
              </c:numCache>
            </c:numRef>
          </c:val>
        </c:ser>
        <c:marker val="1"/>
        <c:axId val="60920192"/>
        <c:axId val="60921728"/>
      </c:lineChart>
      <c:catAx>
        <c:axId val="60920192"/>
        <c:scaling>
          <c:orientation val="minMax"/>
        </c:scaling>
        <c:axPos val="b"/>
        <c:majorTickMark val="none"/>
        <c:tickLblPos val="nextTo"/>
        <c:crossAx val="60921728"/>
        <c:crosses val="autoZero"/>
        <c:auto val="1"/>
        <c:lblAlgn val="ctr"/>
        <c:lblOffset val="100"/>
      </c:catAx>
      <c:valAx>
        <c:axId val="60921728"/>
        <c:scaling>
          <c:orientation val="minMax"/>
        </c:scaling>
        <c:axPos val="l"/>
        <c:majorGridlines/>
        <c:title>
          <c:tx>
            <c:rich>
              <a:bodyPr/>
              <a:lstStyle/>
              <a:p>
                <a:pPr>
                  <a:defRPr/>
                </a:pPr>
                <a:r>
                  <a:rPr lang="en-US" b="0"/>
                  <a:t>EL-50</a:t>
                </a:r>
                <a:r>
                  <a:rPr lang="en-US"/>
                  <a:t> m2</a:t>
                </a:r>
              </a:p>
            </c:rich>
          </c:tx>
        </c:title>
        <c:numFmt formatCode="0.00" sourceLinked="1"/>
        <c:majorTickMark val="none"/>
        <c:tickLblPos val="nextTo"/>
        <c:txPr>
          <a:bodyPr/>
          <a:lstStyle/>
          <a:p>
            <a:pPr>
              <a:defRPr sz="900" baseline="0"/>
            </a:pPr>
            <a:endParaRPr lang="en-US"/>
          </a:p>
        </c:txPr>
        <c:crossAx val="60920192"/>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5A EL from EE only</a:t>
            </a:r>
          </a:p>
        </c:rich>
      </c:tx>
      <c:layout>
        <c:manualLayout>
          <c:xMode val="edge"/>
          <c:yMode val="edge"/>
          <c:x val="0.26691847601316382"/>
          <c:y val="2.1126760563380278E-2"/>
        </c:manualLayout>
      </c:layout>
    </c:title>
    <c:plotArea>
      <c:layout/>
      <c:lineChart>
        <c:grouping val="standard"/>
        <c:ser>
          <c:idx val="0"/>
          <c:order val="0"/>
          <c:tx>
            <c:strRef>
              <c:f>calculation!$AH$107</c:f>
              <c:strCache>
                <c:ptCount val="1"/>
                <c:pt idx="0">
                  <c:v>PV</c:v>
                </c:pt>
              </c:strCache>
            </c:strRef>
          </c:tx>
          <c:marker>
            <c:symbol val="none"/>
          </c:marker>
          <c:cat>
            <c:strRef>
              <c:f>calculation!$AG$108:$AG$111</c:f>
              <c:strCache>
                <c:ptCount val="4"/>
                <c:pt idx="0">
                  <c:v>option 0</c:v>
                </c:pt>
                <c:pt idx="1">
                  <c:v>option 1</c:v>
                </c:pt>
                <c:pt idx="2">
                  <c:v>option 2</c:v>
                </c:pt>
                <c:pt idx="3">
                  <c:v>option 3</c:v>
                </c:pt>
              </c:strCache>
            </c:strRef>
          </c:cat>
          <c:val>
            <c:numRef>
              <c:f>calculation!$AH$108:$AH$111</c:f>
              <c:numCache>
                <c:formatCode>0.00</c:formatCode>
                <c:ptCount val="4"/>
                <c:pt idx="0">
                  <c:v>961.76511047981489</c:v>
                </c:pt>
                <c:pt idx="1">
                  <c:v>350.96610900674017</c:v>
                </c:pt>
                <c:pt idx="2">
                  <c:v>293.15992634680651</c:v>
                </c:pt>
                <c:pt idx="3">
                  <c:v>268.97570707071179</c:v>
                </c:pt>
              </c:numCache>
            </c:numRef>
          </c:val>
        </c:ser>
        <c:ser>
          <c:idx val="1"/>
          <c:order val="1"/>
          <c:tx>
            <c:strRef>
              <c:f>calculation!$AI$107</c:f>
              <c:strCache>
                <c:ptCount val="1"/>
                <c:pt idx="0">
                  <c:v>ins.</c:v>
                </c:pt>
              </c:strCache>
            </c:strRef>
          </c:tx>
          <c:spPr>
            <a:ln>
              <a:solidFill>
                <a:srgbClr val="F49E02"/>
              </a:solidFill>
            </a:ln>
          </c:spPr>
          <c:marker>
            <c:symbol val="none"/>
          </c:marker>
          <c:cat>
            <c:strRef>
              <c:f>calculation!$AG$108:$AG$111</c:f>
              <c:strCache>
                <c:ptCount val="4"/>
                <c:pt idx="0">
                  <c:v>option 0</c:v>
                </c:pt>
                <c:pt idx="1">
                  <c:v>option 1</c:v>
                </c:pt>
                <c:pt idx="2">
                  <c:v>option 2</c:v>
                </c:pt>
                <c:pt idx="3">
                  <c:v>option 3</c:v>
                </c:pt>
              </c:strCache>
            </c:strRef>
          </c:cat>
          <c:val>
            <c:numRef>
              <c:f>calculation!$AI$108:$AI$111</c:f>
              <c:numCache>
                <c:formatCode>0.00</c:formatCode>
                <c:ptCount val="4"/>
                <c:pt idx="0" formatCode="General">
                  <c:v>0</c:v>
                </c:pt>
                <c:pt idx="1">
                  <c:v>223.21725823045369</c:v>
                </c:pt>
                <c:pt idx="2">
                  <c:v>430.83129929698464</c:v>
                </c:pt>
                <c:pt idx="3">
                  <c:v>623.38595893347429</c:v>
                </c:pt>
              </c:numCache>
            </c:numRef>
          </c:val>
        </c:ser>
        <c:ser>
          <c:idx val="2"/>
          <c:order val="2"/>
          <c:tx>
            <c:strRef>
              <c:f>calculation!$AJ$107</c:f>
              <c:strCache>
                <c:ptCount val="1"/>
                <c:pt idx="0">
                  <c:v>total</c:v>
                </c:pt>
              </c:strCache>
            </c:strRef>
          </c:tx>
          <c:marker>
            <c:symbol val="none"/>
          </c:marker>
          <c:cat>
            <c:strRef>
              <c:f>calculation!$AG$108:$AG$111</c:f>
              <c:strCache>
                <c:ptCount val="4"/>
                <c:pt idx="0">
                  <c:v>option 0</c:v>
                </c:pt>
                <c:pt idx="1">
                  <c:v>option 1</c:v>
                </c:pt>
                <c:pt idx="2">
                  <c:v>option 2</c:v>
                </c:pt>
                <c:pt idx="3">
                  <c:v>option 3</c:v>
                </c:pt>
              </c:strCache>
            </c:strRef>
          </c:cat>
          <c:val>
            <c:numRef>
              <c:f>calculation!$AJ$108:$AJ$111</c:f>
              <c:numCache>
                <c:formatCode>0.00</c:formatCode>
                <c:ptCount val="4"/>
                <c:pt idx="0">
                  <c:v>961.76511047981489</c:v>
                </c:pt>
                <c:pt idx="1">
                  <c:v>574.18336723719381</c:v>
                </c:pt>
                <c:pt idx="2">
                  <c:v>723.99122564379115</c:v>
                </c:pt>
                <c:pt idx="3">
                  <c:v>892.36166600418608</c:v>
                </c:pt>
              </c:numCache>
            </c:numRef>
          </c:val>
        </c:ser>
        <c:marker val="1"/>
        <c:axId val="70132480"/>
        <c:axId val="70134016"/>
      </c:lineChart>
      <c:catAx>
        <c:axId val="70132480"/>
        <c:scaling>
          <c:orientation val="minMax"/>
        </c:scaling>
        <c:axPos val="b"/>
        <c:majorTickMark val="none"/>
        <c:tickLblPos val="nextTo"/>
        <c:crossAx val="70134016"/>
        <c:crosses val="autoZero"/>
        <c:auto val="1"/>
        <c:lblAlgn val="ctr"/>
        <c:lblOffset val="100"/>
      </c:catAx>
      <c:valAx>
        <c:axId val="70134016"/>
        <c:scaling>
          <c:orientation val="minMax"/>
        </c:scaling>
        <c:axPos val="l"/>
        <c:majorGridlines/>
        <c:title>
          <c:tx>
            <c:rich>
              <a:bodyPr/>
              <a:lstStyle/>
              <a:p>
                <a:pPr>
                  <a:defRPr/>
                </a:pPr>
                <a:r>
                  <a:rPr lang="en-US"/>
                  <a:t>EL </a:t>
                </a:r>
                <a:r>
                  <a:rPr lang="en-US" b="0"/>
                  <a:t>m2year</a:t>
                </a:r>
              </a:p>
            </c:rich>
          </c:tx>
          <c:layout/>
        </c:title>
        <c:numFmt formatCode="0.00" sourceLinked="1"/>
        <c:majorTickMark val="none"/>
        <c:tickLblPos val="nextTo"/>
        <c:txPr>
          <a:bodyPr/>
          <a:lstStyle/>
          <a:p>
            <a:pPr>
              <a:defRPr sz="900" baseline="0"/>
            </a:pPr>
            <a:endParaRPr lang="en-US"/>
          </a:p>
        </c:txPr>
        <c:crossAx val="70132480"/>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graph 5B EL-50 from EE only</a:t>
            </a:r>
          </a:p>
        </c:rich>
      </c:tx>
      <c:layout/>
    </c:title>
    <c:plotArea>
      <c:layout/>
      <c:lineChart>
        <c:grouping val="standard"/>
        <c:ser>
          <c:idx val="0"/>
          <c:order val="0"/>
          <c:tx>
            <c:strRef>
              <c:f>calculation!$AH$115</c:f>
              <c:strCache>
                <c:ptCount val="1"/>
                <c:pt idx="0">
                  <c:v>PV</c:v>
                </c:pt>
              </c:strCache>
            </c:strRef>
          </c:tx>
          <c:marker>
            <c:symbol val="none"/>
          </c:marker>
          <c:cat>
            <c:strRef>
              <c:f>calculation!$AG$116:$AG$119</c:f>
              <c:strCache>
                <c:ptCount val="4"/>
                <c:pt idx="0">
                  <c:v>option 0</c:v>
                </c:pt>
                <c:pt idx="1">
                  <c:v>option 1</c:v>
                </c:pt>
                <c:pt idx="2">
                  <c:v>option 2</c:v>
                </c:pt>
                <c:pt idx="3">
                  <c:v>option 3</c:v>
                </c:pt>
              </c:strCache>
            </c:strRef>
          </c:cat>
          <c:val>
            <c:numRef>
              <c:f>calculation!$AH$116:$AH$119</c:f>
              <c:numCache>
                <c:formatCode>0.00</c:formatCode>
                <c:ptCount val="4"/>
                <c:pt idx="0">
                  <c:v>153.02064078282896</c:v>
                </c:pt>
                <c:pt idx="1">
                  <c:v>55.840098905724147</c:v>
                </c:pt>
                <c:pt idx="2">
                  <c:v>46.642906144781357</c:v>
                </c:pt>
                <c:pt idx="3">
                  <c:v>42.795101010101206</c:v>
                </c:pt>
              </c:numCache>
            </c:numRef>
          </c:val>
        </c:ser>
        <c:ser>
          <c:idx val="1"/>
          <c:order val="1"/>
          <c:tx>
            <c:strRef>
              <c:f>calculation!$AI$115</c:f>
              <c:strCache>
                <c:ptCount val="1"/>
                <c:pt idx="0">
                  <c:v>ins.</c:v>
                </c:pt>
              </c:strCache>
            </c:strRef>
          </c:tx>
          <c:spPr>
            <a:ln>
              <a:solidFill>
                <a:srgbClr val="DEA900"/>
              </a:solidFill>
            </a:ln>
          </c:spPr>
          <c:marker>
            <c:symbol val="none"/>
          </c:marker>
          <c:cat>
            <c:strRef>
              <c:f>calculation!$AG$116:$AG$119</c:f>
              <c:strCache>
                <c:ptCount val="4"/>
                <c:pt idx="0">
                  <c:v>option 0</c:v>
                </c:pt>
                <c:pt idx="1">
                  <c:v>option 1</c:v>
                </c:pt>
                <c:pt idx="2">
                  <c:v>option 2</c:v>
                </c:pt>
                <c:pt idx="3">
                  <c:v>option 3</c:v>
                </c:pt>
              </c:strCache>
            </c:strRef>
          </c:cat>
          <c:val>
            <c:numRef>
              <c:f>calculation!$AI$116:$AI$119</c:f>
              <c:numCache>
                <c:formatCode>0.00</c:formatCode>
                <c:ptCount val="4"/>
                <c:pt idx="0">
                  <c:v>0</c:v>
                </c:pt>
                <c:pt idx="1">
                  <c:v>4.4643451646090737</c:v>
                </c:pt>
                <c:pt idx="2">
                  <c:v>8.6166259859396934</c:v>
                </c:pt>
                <c:pt idx="3">
                  <c:v>12.467719178669485</c:v>
                </c:pt>
              </c:numCache>
            </c:numRef>
          </c:val>
        </c:ser>
        <c:ser>
          <c:idx val="2"/>
          <c:order val="2"/>
          <c:tx>
            <c:strRef>
              <c:f>calculation!$AJ$115</c:f>
              <c:strCache>
                <c:ptCount val="1"/>
                <c:pt idx="0">
                  <c:v>total</c:v>
                </c:pt>
              </c:strCache>
            </c:strRef>
          </c:tx>
          <c:marker>
            <c:symbol val="none"/>
          </c:marker>
          <c:cat>
            <c:strRef>
              <c:f>calculation!$AG$116:$AG$119</c:f>
              <c:strCache>
                <c:ptCount val="4"/>
                <c:pt idx="0">
                  <c:v>option 0</c:v>
                </c:pt>
                <c:pt idx="1">
                  <c:v>option 1</c:v>
                </c:pt>
                <c:pt idx="2">
                  <c:v>option 2</c:v>
                </c:pt>
                <c:pt idx="3">
                  <c:v>option 3</c:v>
                </c:pt>
              </c:strCache>
            </c:strRef>
          </c:cat>
          <c:val>
            <c:numRef>
              <c:f>calculation!$AJ$116:$AJ$119</c:f>
              <c:numCache>
                <c:formatCode>0.00</c:formatCode>
                <c:ptCount val="4"/>
                <c:pt idx="0">
                  <c:v>153.02064078282896</c:v>
                </c:pt>
                <c:pt idx="1">
                  <c:v>60.304444070333219</c:v>
                </c:pt>
                <c:pt idx="2">
                  <c:v>55.259532130721048</c:v>
                </c:pt>
                <c:pt idx="3">
                  <c:v>55.262820188770689</c:v>
                </c:pt>
              </c:numCache>
            </c:numRef>
          </c:val>
        </c:ser>
        <c:marker val="1"/>
        <c:axId val="70186112"/>
        <c:axId val="70187648"/>
      </c:lineChart>
      <c:catAx>
        <c:axId val="70186112"/>
        <c:scaling>
          <c:orientation val="minMax"/>
        </c:scaling>
        <c:axPos val="b"/>
        <c:majorTickMark val="none"/>
        <c:tickLblPos val="nextTo"/>
        <c:crossAx val="70187648"/>
        <c:crosses val="autoZero"/>
        <c:auto val="1"/>
        <c:lblAlgn val="ctr"/>
        <c:lblOffset val="100"/>
      </c:catAx>
      <c:valAx>
        <c:axId val="70187648"/>
        <c:scaling>
          <c:orientation val="minMax"/>
        </c:scaling>
        <c:axPos val="l"/>
        <c:majorGridlines/>
        <c:title>
          <c:tx>
            <c:rich>
              <a:bodyPr/>
              <a:lstStyle/>
              <a:p>
                <a:pPr>
                  <a:defRPr b="0"/>
                </a:pPr>
                <a:r>
                  <a:rPr lang="en-US" b="0"/>
                  <a:t>EL50 m2</a:t>
                </a:r>
              </a:p>
            </c:rich>
          </c:tx>
          <c:layout/>
        </c:title>
        <c:numFmt formatCode="0.00" sourceLinked="1"/>
        <c:majorTickMark val="none"/>
        <c:tickLblPos val="nextTo"/>
        <c:txPr>
          <a:bodyPr/>
          <a:lstStyle/>
          <a:p>
            <a:pPr>
              <a:defRPr sz="900" baseline="0"/>
            </a:pPr>
            <a:endParaRPr lang="en-US"/>
          </a:p>
        </c:txPr>
        <c:crossAx val="70186112"/>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88" l="0.70000000000000062" r="0.70000000000000062" t="0.750000000000004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4A only EE with storage   </a:t>
            </a:r>
          </a:p>
        </c:rich>
      </c:tx>
      <c:layout>
        <c:manualLayout>
          <c:xMode val="edge"/>
          <c:yMode val="edge"/>
          <c:x val="0.31332868945693154"/>
          <c:y val="3.0375553641732278E-2"/>
        </c:manualLayout>
      </c:layout>
    </c:title>
    <c:plotArea>
      <c:layout/>
      <c:lineChart>
        <c:grouping val="standard"/>
        <c:ser>
          <c:idx val="0"/>
          <c:order val="0"/>
          <c:tx>
            <c:strRef>
              <c:f>calculation!$AH$80</c:f>
              <c:strCache>
                <c:ptCount val="1"/>
                <c:pt idx="0">
                  <c:v>PV</c:v>
                </c:pt>
              </c:strCache>
            </c:strRef>
          </c:tx>
          <c:marker>
            <c:symbol val="none"/>
          </c:marker>
          <c:cat>
            <c:strRef>
              <c:f>calculation!$AG$81:$AG$84</c:f>
              <c:strCache>
                <c:ptCount val="4"/>
                <c:pt idx="0">
                  <c:v>option 0</c:v>
                </c:pt>
                <c:pt idx="1">
                  <c:v>option  1</c:v>
                </c:pt>
                <c:pt idx="2">
                  <c:v>option 2</c:v>
                </c:pt>
                <c:pt idx="3">
                  <c:v>option 3</c:v>
                </c:pt>
              </c:strCache>
            </c:strRef>
          </c:cat>
          <c:val>
            <c:numRef>
              <c:f>calculation!$AH$81:$AH$84</c:f>
              <c:numCache>
                <c:formatCode>0.00</c:formatCode>
                <c:ptCount val="4"/>
                <c:pt idx="0">
                  <c:v>363935.01136363635</c:v>
                </c:pt>
                <c:pt idx="1">
                  <c:v>132806.70454545453</c:v>
                </c:pt>
                <c:pt idx="2">
                  <c:v>110932.6590909091</c:v>
                </c:pt>
                <c:pt idx="3">
                  <c:v>101781.27272727274</c:v>
                </c:pt>
              </c:numCache>
            </c:numRef>
          </c:val>
        </c:ser>
        <c:ser>
          <c:idx val="1"/>
          <c:order val="1"/>
          <c:tx>
            <c:strRef>
              <c:f>calculation!$AI$80</c:f>
              <c:strCache>
                <c:ptCount val="1"/>
                <c:pt idx="0">
                  <c:v>ins.</c:v>
                </c:pt>
              </c:strCache>
            </c:strRef>
          </c:tx>
          <c:spPr>
            <a:ln>
              <a:solidFill>
                <a:srgbClr val="DEA900"/>
              </a:solidFill>
            </a:ln>
          </c:spPr>
          <c:marker>
            <c:symbol val="none"/>
          </c:marker>
          <c:cat>
            <c:strRef>
              <c:f>calculation!$AG$81:$AG$84</c:f>
              <c:strCache>
                <c:ptCount val="4"/>
                <c:pt idx="0">
                  <c:v>option 0</c:v>
                </c:pt>
                <c:pt idx="1">
                  <c:v>option  1</c:v>
                </c:pt>
                <c:pt idx="2">
                  <c:v>option 2</c:v>
                </c:pt>
                <c:pt idx="3">
                  <c:v>option 3</c:v>
                </c:pt>
              </c:strCache>
            </c:strRef>
          </c:cat>
          <c:val>
            <c:numRef>
              <c:f>calculation!$AI$81:$AI$84</c:f>
              <c:numCache>
                <c:formatCode>0.00</c:formatCode>
                <c:ptCount val="4"/>
                <c:pt idx="0">
                  <c:v>0</c:v>
                </c:pt>
                <c:pt idx="1">
                  <c:v>75194.400000000009</c:v>
                </c:pt>
                <c:pt idx="2">
                  <c:v>145132.6</c:v>
                </c:pt>
                <c:pt idx="3">
                  <c:v>209997.80000000002</c:v>
                </c:pt>
              </c:numCache>
            </c:numRef>
          </c:val>
        </c:ser>
        <c:ser>
          <c:idx val="2"/>
          <c:order val="2"/>
          <c:tx>
            <c:strRef>
              <c:f>calculation!$AJ$80</c:f>
              <c:strCache>
                <c:ptCount val="1"/>
                <c:pt idx="0">
                  <c:v>tot</c:v>
                </c:pt>
              </c:strCache>
            </c:strRef>
          </c:tx>
          <c:marker>
            <c:symbol val="none"/>
          </c:marker>
          <c:cat>
            <c:strRef>
              <c:f>calculation!$AG$81:$AG$84</c:f>
              <c:strCache>
                <c:ptCount val="4"/>
                <c:pt idx="0">
                  <c:v>option 0</c:v>
                </c:pt>
                <c:pt idx="1">
                  <c:v>option  1</c:v>
                </c:pt>
                <c:pt idx="2">
                  <c:v>option 2</c:v>
                </c:pt>
                <c:pt idx="3">
                  <c:v>option 3</c:v>
                </c:pt>
              </c:strCache>
            </c:strRef>
          </c:cat>
          <c:val>
            <c:numRef>
              <c:f>calculation!$AJ$81:$AJ$84</c:f>
              <c:numCache>
                <c:formatCode>0.00</c:formatCode>
                <c:ptCount val="4"/>
                <c:pt idx="0">
                  <c:v>363935.01136363635</c:v>
                </c:pt>
                <c:pt idx="1">
                  <c:v>208001.10454545455</c:v>
                </c:pt>
                <c:pt idx="2">
                  <c:v>256065.25909090909</c:v>
                </c:pt>
                <c:pt idx="3">
                  <c:v>311779.07272727275</c:v>
                </c:pt>
              </c:numCache>
            </c:numRef>
          </c:val>
        </c:ser>
        <c:marker val="1"/>
        <c:axId val="60982784"/>
        <c:axId val="60984320"/>
      </c:lineChart>
      <c:catAx>
        <c:axId val="60982784"/>
        <c:scaling>
          <c:orientation val="minMax"/>
        </c:scaling>
        <c:axPos val="b"/>
        <c:majorTickMark val="none"/>
        <c:tickLblPos val="nextTo"/>
        <c:crossAx val="60984320"/>
        <c:crosses val="autoZero"/>
        <c:auto val="1"/>
        <c:lblAlgn val="ctr"/>
        <c:lblOffset val="100"/>
      </c:catAx>
      <c:valAx>
        <c:axId val="60984320"/>
        <c:scaling>
          <c:orientation val="minMax"/>
        </c:scaling>
        <c:axPos val="l"/>
        <c:majorGridlines/>
        <c:title>
          <c:tx>
            <c:rich>
              <a:bodyPr/>
              <a:lstStyle/>
              <a:p>
                <a:pPr>
                  <a:defRPr/>
                </a:pPr>
                <a:r>
                  <a:rPr lang="en-US"/>
                  <a:t>MJ</a:t>
                </a:r>
              </a:p>
            </c:rich>
          </c:tx>
          <c:layout/>
        </c:title>
        <c:numFmt formatCode="0.00" sourceLinked="1"/>
        <c:majorTickMark val="none"/>
        <c:tickLblPos val="nextTo"/>
        <c:txPr>
          <a:bodyPr/>
          <a:lstStyle/>
          <a:p>
            <a:pPr>
              <a:defRPr sz="900" baseline="0"/>
            </a:pPr>
            <a:endParaRPr lang="en-US"/>
          </a:p>
        </c:txPr>
        <c:crossAx val="60982784"/>
        <c:crosses val="autoZero"/>
        <c:crossBetween val="between"/>
      </c:valAx>
      <c:dTable>
        <c:showHorzBorder val="1"/>
        <c:showVertBorder val="1"/>
        <c:showOutline val="1"/>
        <c:showKeys val="1"/>
        <c:txPr>
          <a:bodyPr/>
          <a:lstStyle/>
          <a:p>
            <a:pPr rtl="0">
              <a:defRPr sz="800" baseline="0"/>
            </a:pPr>
            <a:endParaRPr lang="en-US"/>
          </a:p>
        </c:txPr>
      </c:dTable>
    </c:plotArea>
    <c:plotVisOnly val="1"/>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a:t>Grafiek  4B only  EE-50year with storage</a:t>
            </a:r>
          </a:p>
        </c:rich>
      </c:tx>
      <c:layout>
        <c:manualLayout>
          <c:xMode val="edge"/>
          <c:yMode val="edge"/>
          <c:x val="0.2601007592171784"/>
          <c:y val="2.7397260273972612E-2"/>
        </c:manualLayout>
      </c:layout>
    </c:title>
    <c:plotArea>
      <c:layout/>
      <c:lineChart>
        <c:grouping val="standard"/>
        <c:ser>
          <c:idx val="0"/>
          <c:order val="0"/>
          <c:tx>
            <c:strRef>
              <c:f>calculation!$AH$88</c:f>
              <c:strCache>
                <c:ptCount val="1"/>
                <c:pt idx="0">
                  <c:v>PV</c:v>
                </c:pt>
              </c:strCache>
            </c:strRef>
          </c:tx>
          <c:marker>
            <c:symbol val="none"/>
          </c:marker>
          <c:cat>
            <c:strRef>
              <c:f>calculation!$AG$89:$AG$92</c:f>
              <c:strCache>
                <c:ptCount val="4"/>
                <c:pt idx="0">
                  <c:v>option 0</c:v>
                </c:pt>
                <c:pt idx="1">
                  <c:v>option 1</c:v>
                </c:pt>
                <c:pt idx="2">
                  <c:v>option 2</c:v>
                </c:pt>
                <c:pt idx="3">
                  <c:v>option 3</c:v>
                </c:pt>
              </c:strCache>
            </c:strRef>
          </c:cat>
          <c:val>
            <c:numRef>
              <c:f>calculation!$AH$89:$AH$92</c:f>
              <c:numCache>
                <c:formatCode>0.00</c:formatCode>
                <c:ptCount val="4"/>
                <c:pt idx="0">
                  <c:v>14557.400454545454</c:v>
                </c:pt>
                <c:pt idx="1">
                  <c:v>5312.2681818181809</c:v>
                </c:pt>
                <c:pt idx="2">
                  <c:v>4437.306363636364</c:v>
                </c:pt>
                <c:pt idx="3">
                  <c:v>4071.2509090909093</c:v>
                </c:pt>
              </c:numCache>
            </c:numRef>
          </c:val>
        </c:ser>
        <c:ser>
          <c:idx val="1"/>
          <c:order val="1"/>
          <c:tx>
            <c:strRef>
              <c:f>calculation!$AI$88</c:f>
              <c:strCache>
                <c:ptCount val="1"/>
                <c:pt idx="0">
                  <c:v>ins.</c:v>
                </c:pt>
              </c:strCache>
            </c:strRef>
          </c:tx>
          <c:spPr>
            <a:ln>
              <a:solidFill>
                <a:srgbClr val="DEA900"/>
              </a:solidFill>
            </a:ln>
          </c:spPr>
          <c:marker>
            <c:symbol val="none"/>
          </c:marker>
          <c:cat>
            <c:strRef>
              <c:f>calculation!$AG$89:$AG$92</c:f>
              <c:strCache>
                <c:ptCount val="4"/>
                <c:pt idx="0">
                  <c:v>option 0</c:v>
                </c:pt>
                <c:pt idx="1">
                  <c:v>option 1</c:v>
                </c:pt>
                <c:pt idx="2">
                  <c:v>option 2</c:v>
                </c:pt>
                <c:pt idx="3">
                  <c:v>option 3</c:v>
                </c:pt>
              </c:strCache>
            </c:strRef>
          </c:cat>
          <c:val>
            <c:numRef>
              <c:f>calculation!$AI$89:$AI$92</c:f>
              <c:numCache>
                <c:formatCode>0.00</c:formatCode>
                <c:ptCount val="4"/>
                <c:pt idx="0">
                  <c:v>0</c:v>
                </c:pt>
                <c:pt idx="1">
                  <c:v>1503.8880000000001</c:v>
                </c:pt>
                <c:pt idx="2">
                  <c:v>2902.652</c:v>
                </c:pt>
                <c:pt idx="3">
                  <c:v>4199.9560000000001</c:v>
                </c:pt>
              </c:numCache>
            </c:numRef>
          </c:val>
        </c:ser>
        <c:ser>
          <c:idx val="2"/>
          <c:order val="2"/>
          <c:tx>
            <c:strRef>
              <c:f>calculation!$AJ$88</c:f>
              <c:strCache>
                <c:ptCount val="1"/>
                <c:pt idx="0">
                  <c:v>tot</c:v>
                </c:pt>
              </c:strCache>
            </c:strRef>
          </c:tx>
          <c:marker>
            <c:symbol val="none"/>
          </c:marker>
          <c:cat>
            <c:strRef>
              <c:f>calculation!$AG$89:$AG$92</c:f>
              <c:strCache>
                <c:ptCount val="4"/>
                <c:pt idx="0">
                  <c:v>option 0</c:v>
                </c:pt>
                <c:pt idx="1">
                  <c:v>option 1</c:v>
                </c:pt>
                <c:pt idx="2">
                  <c:v>option 2</c:v>
                </c:pt>
                <c:pt idx="3">
                  <c:v>option 3</c:v>
                </c:pt>
              </c:strCache>
            </c:strRef>
          </c:cat>
          <c:val>
            <c:numRef>
              <c:f>calculation!$AJ$89:$AJ$92</c:f>
              <c:numCache>
                <c:formatCode>0.00</c:formatCode>
                <c:ptCount val="4"/>
                <c:pt idx="0">
                  <c:v>14557.400454545454</c:v>
                </c:pt>
                <c:pt idx="1">
                  <c:v>6816.1561818181808</c:v>
                </c:pt>
                <c:pt idx="2">
                  <c:v>7339.9583636363641</c:v>
                </c:pt>
                <c:pt idx="3">
                  <c:v>8271.2069090909099</c:v>
                </c:pt>
              </c:numCache>
            </c:numRef>
          </c:val>
        </c:ser>
        <c:marker val="1"/>
        <c:axId val="70080000"/>
        <c:axId val="70081536"/>
      </c:lineChart>
      <c:catAx>
        <c:axId val="70080000"/>
        <c:scaling>
          <c:orientation val="minMax"/>
        </c:scaling>
        <c:axPos val="b"/>
        <c:majorTickMark val="none"/>
        <c:tickLblPos val="nextTo"/>
        <c:crossAx val="70081536"/>
        <c:crosses val="autoZero"/>
        <c:auto val="1"/>
        <c:lblAlgn val="ctr"/>
        <c:lblOffset val="100"/>
      </c:catAx>
      <c:valAx>
        <c:axId val="70081536"/>
        <c:scaling>
          <c:orientation val="minMax"/>
        </c:scaling>
        <c:axPos val="l"/>
        <c:majorGridlines/>
        <c:title>
          <c:tx>
            <c:rich>
              <a:bodyPr/>
              <a:lstStyle/>
              <a:p>
                <a:pPr>
                  <a:defRPr/>
                </a:pPr>
                <a:r>
                  <a:rPr lang="en-US"/>
                  <a:t>MJ/50</a:t>
                </a:r>
              </a:p>
            </c:rich>
          </c:tx>
          <c:layout/>
        </c:title>
        <c:numFmt formatCode="0.00" sourceLinked="1"/>
        <c:majorTickMark val="none"/>
        <c:tickLblPos val="nextTo"/>
        <c:crossAx val="70080000"/>
        <c:crosses val="autoZero"/>
        <c:crossBetween val="between"/>
      </c:valAx>
      <c:dTable>
        <c:showHorzBorder val="1"/>
        <c:showVertBorder val="1"/>
        <c:showOutline val="1"/>
        <c:showKeys val="1"/>
      </c:dTable>
    </c:plotArea>
    <c:plotVisOnly val="1"/>
  </c:chart>
  <c:txPr>
    <a:bodyPr/>
    <a:lstStyle/>
    <a:p>
      <a:pPr>
        <a:defRPr sz="800" baseline="0"/>
      </a:pPr>
      <a:endParaRPr lang="en-US"/>
    </a:p>
  </c:txPr>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900" b="1" i="0" baseline="0"/>
              <a:t>Grafiek 3B EE-50 year, without storage</a:t>
            </a:r>
          </a:p>
        </c:rich>
      </c:tx>
      <c:layout>
        <c:manualLayout>
          <c:xMode val="edge"/>
          <c:yMode val="edge"/>
          <c:x val="0.24180752775881867"/>
          <c:y val="2.2944543760393964E-2"/>
        </c:manualLayout>
      </c:layout>
    </c:title>
    <c:plotArea>
      <c:layout/>
      <c:barChart>
        <c:barDir val="col"/>
        <c:grouping val="stacked"/>
        <c:ser>
          <c:idx val="0"/>
          <c:order val="0"/>
          <c:tx>
            <c:strRef>
              <c:f>calculation!$AH$62</c:f>
              <c:strCache>
                <c:ptCount val="1"/>
                <c:pt idx="0">
                  <c:v>PV</c:v>
                </c:pt>
              </c:strCache>
            </c:strRef>
          </c:tx>
          <c:cat>
            <c:strRef>
              <c:f>calculation!$AG$63:$AG$66</c:f>
              <c:strCache>
                <c:ptCount val="4"/>
                <c:pt idx="0">
                  <c:v>option 0</c:v>
                </c:pt>
                <c:pt idx="1">
                  <c:v>option 1</c:v>
                </c:pt>
                <c:pt idx="2">
                  <c:v>option 2</c:v>
                </c:pt>
                <c:pt idx="3">
                  <c:v>option 3</c:v>
                </c:pt>
              </c:strCache>
            </c:strRef>
          </c:cat>
          <c:val>
            <c:numRef>
              <c:f>calculation!$AH$63:$AH$66</c:f>
              <c:numCache>
                <c:formatCode>0.00</c:formatCode>
                <c:ptCount val="4"/>
                <c:pt idx="0">
                  <c:v>7233.4909090909096</c:v>
                </c:pt>
                <c:pt idx="1">
                  <c:v>2639.6363636363635</c:v>
                </c:pt>
                <c:pt idx="2">
                  <c:v>2204.8727272727274</c:v>
                </c:pt>
                <c:pt idx="3">
                  <c:v>2022.9818181818182</c:v>
                </c:pt>
              </c:numCache>
            </c:numRef>
          </c:val>
        </c:ser>
        <c:ser>
          <c:idx val="1"/>
          <c:order val="1"/>
          <c:tx>
            <c:strRef>
              <c:f>calculation!$AI$62</c:f>
              <c:strCache>
                <c:ptCount val="1"/>
                <c:pt idx="0">
                  <c:v>insulation</c:v>
                </c:pt>
              </c:strCache>
            </c:strRef>
          </c:tx>
          <c:cat>
            <c:strRef>
              <c:f>calculation!$AG$63:$AG$66</c:f>
              <c:strCache>
                <c:ptCount val="4"/>
                <c:pt idx="0">
                  <c:v>option 0</c:v>
                </c:pt>
                <c:pt idx="1">
                  <c:v>option 1</c:v>
                </c:pt>
                <c:pt idx="2">
                  <c:v>option 2</c:v>
                </c:pt>
                <c:pt idx="3">
                  <c:v>option 3</c:v>
                </c:pt>
              </c:strCache>
            </c:strRef>
          </c:cat>
          <c:val>
            <c:numRef>
              <c:f>calculation!$AI$63:$AI$66</c:f>
              <c:numCache>
                <c:formatCode>0.00</c:formatCode>
                <c:ptCount val="4"/>
                <c:pt idx="0">
                  <c:v>0</c:v>
                </c:pt>
                <c:pt idx="1">
                  <c:v>1503.8880000000001</c:v>
                </c:pt>
                <c:pt idx="2">
                  <c:v>2902.652</c:v>
                </c:pt>
                <c:pt idx="3">
                  <c:v>4199.9560000000001</c:v>
                </c:pt>
              </c:numCache>
            </c:numRef>
          </c:val>
        </c:ser>
        <c:gapWidth val="95"/>
        <c:overlap val="100"/>
        <c:axId val="70112384"/>
        <c:axId val="70113920"/>
      </c:barChart>
      <c:catAx>
        <c:axId val="70112384"/>
        <c:scaling>
          <c:orientation val="minMax"/>
        </c:scaling>
        <c:axPos val="b"/>
        <c:majorTickMark val="none"/>
        <c:tickLblPos val="nextTo"/>
        <c:crossAx val="70113920"/>
        <c:crosses val="autoZero"/>
        <c:auto val="1"/>
        <c:lblAlgn val="ctr"/>
        <c:lblOffset val="100"/>
      </c:catAx>
      <c:valAx>
        <c:axId val="70113920"/>
        <c:scaling>
          <c:orientation val="minMax"/>
        </c:scaling>
        <c:axPos val="l"/>
        <c:majorGridlines/>
        <c:title>
          <c:tx>
            <c:rich>
              <a:bodyPr/>
              <a:lstStyle/>
              <a:p>
                <a:pPr>
                  <a:defRPr/>
                </a:pPr>
                <a:r>
                  <a:rPr lang="en-US" sz="900" b="0"/>
                  <a:t>MJ/50</a:t>
                </a:r>
              </a:p>
            </c:rich>
          </c:tx>
          <c:layout/>
        </c:title>
        <c:numFmt formatCode="0.00" sourceLinked="1"/>
        <c:majorTickMark val="none"/>
        <c:tickLblPos val="nextTo"/>
        <c:crossAx val="70112384"/>
        <c:crosses val="autoZero"/>
        <c:crossBetween val="between"/>
      </c:valAx>
      <c:dTable>
        <c:showHorzBorder val="1"/>
        <c:showVertBorder val="1"/>
        <c:showOutline val="1"/>
        <c:showKeys val="1"/>
        <c:txPr>
          <a:bodyPr/>
          <a:lstStyle/>
          <a:p>
            <a:pPr rtl="0">
              <a:defRPr sz="800"/>
            </a:pPr>
            <a:endParaRPr lang="en-US"/>
          </a:p>
        </c:txPr>
      </c:dTable>
    </c:plotArea>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9</xdr:col>
      <xdr:colOff>437515</xdr:colOff>
      <xdr:row>15</xdr:row>
      <xdr:rowOff>152400</xdr:rowOff>
    </xdr:to>
    <xdr:pic>
      <xdr:nvPicPr>
        <xdr:cNvPr id="2" name="Afbeelding 1" descr="K:\3 LECTORAAT\MAXERGY\afbeeldingen\maxergy logo1.jpg"/>
        <xdr:cNvPicPr/>
      </xdr:nvPicPr>
      <xdr:blipFill>
        <a:blip xmlns:r="http://schemas.openxmlformats.org/officeDocument/2006/relationships" r:embed="rId1" cstate="print"/>
        <a:srcRect/>
        <a:stretch>
          <a:fillRect/>
        </a:stretch>
      </xdr:blipFill>
      <xdr:spPr bwMode="auto">
        <a:xfrm>
          <a:off x="2438400" y="1171575"/>
          <a:ext cx="3485515" cy="2057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69850</xdr:colOff>
      <xdr:row>139</xdr:row>
      <xdr:rowOff>95250</xdr:rowOff>
    </xdr:from>
    <xdr:to>
      <xdr:col>40</xdr:col>
      <xdr:colOff>654050</xdr:colOff>
      <xdr:row>158</xdr:row>
      <xdr:rowOff>69850</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114301</xdr:colOff>
      <xdr:row>119</xdr:row>
      <xdr:rowOff>88901</xdr:rowOff>
    </xdr:from>
    <xdr:to>
      <xdr:col>40</xdr:col>
      <xdr:colOff>698500</xdr:colOff>
      <xdr:row>137</xdr:row>
      <xdr:rowOff>88901</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711200</xdr:colOff>
      <xdr:row>119</xdr:row>
      <xdr:rowOff>82550</xdr:rowOff>
    </xdr:from>
    <xdr:to>
      <xdr:col>44</xdr:col>
      <xdr:colOff>571500</xdr:colOff>
      <xdr:row>137</xdr:row>
      <xdr:rowOff>95250</xdr:rowOff>
    </xdr:to>
    <xdr:graphicFrame macro="">
      <xdr:nvGraphicFramePr>
        <xdr:cNvPr id="4" name="Grafie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685800</xdr:colOff>
      <xdr:row>139</xdr:row>
      <xdr:rowOff>76200</xdr:rowOff>
    </xdr:from>
    <xdr:to>
      <xdr:col>44</xdr:col>
      <xdr:colOff>596900</xdr:colOff>
      <xdr:row>158</xdr:row>
      <xdr:rowOff>82550</xdr:rowOff>
    </xdr:to>
    <xdr:graphicFrame macro="">
      <xdr:nvGraphicFramePr>
        <xdr:cNvPr id="5" name="Grafie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107951</xdr:colOff>
      <xdr:row>99</xdr:row>
      <xdr:rowOff>107950</xdr:rowOff>
    </xdr:from>
    <xdr:to>
      <xdr:col>40</xdr:col>
      <xdr:colOff>685800</xdr:colOff>
      <xdr:row>118</xdr:row>
      <xdr:rowOff>171450</xdr:rowOff>
    </xdr:to>
    <xdr:graphicFrame macro="">
      <xdr:nvGraphicFramePr>
        <xdr:cNvPr id="6" name="Grafiek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682625</xdr:colOff>
      <xdr:row>99</xdr:row>
      <xdr:rowOff>117475</xdr:rowOff>
    </xdr:from>
    <xdr:to>
      <xdr:col>44</xdr:col>
      <xdr:colOff>533400</xdr:colOff>
      <xdr:row>118</xdr:row>
      <xdr:rowOff>184150</xdr:rowOff>
    </xdr:to>
    <xdr:graphicFrame macro="">
      <xdr:nvGraphicFramePr>
        <xdr:cNvPr id="7" name="Grafie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107950</xdr:colOff>
      <xdr:row>73</xdr:row>
      <xdr:rowOff>76200</xdr:rowOff>
    </xdr:from>
    <xdr:to>
      <xdr:col>40</xdr:col>
      <xdr:colOff>590550</xdr:colOff>
      <xdr:row>97</xdr:row>
      <xdr:rowOff>127000</xdr:rowOff>
    </xdr:to>
    <xdr:graphicFrame macro="">
      <xdr:nvGraphicFramePr>
        <xdr:cNvPr id="8" name="Grafiek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603250</xdr:colOff>
      <xdr:row>73</xdr:row>
      <xdr:rowOff>95250</xdr:rowOff>
    </xdr:from>
    <xdr:to>
      <xdr:col>44</xdr:col>
      <xdr:colOff>508000</xdr:colOff>
      <xdr:row>98</xdr:row>
      <xdr:rowOff>6350</xdr:rowOff>
    </xdr:to>
    <xdr:graphicFrame macro="">
      <xdr:nvGraphicFramePr>
        <xdr:cNvPr id="9" name="Grafiek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45</xdr:col>
      <xdr:colOff>76200</xdr:colOff>
      <xdr:row>48</xdr:row>
      <xdr:rowOff>22224</xdr:rowOff>
    </xdr:from>
    <xdr:to>
      <xdr:col>50</xdr:col>
      <xdr:colOff>31750</xdr:colOff>
      <xdr:row>72</xdr:row>
      <xdr:rowOff>95250</xdr:rowOff>
    </xdr:to>
    <xdr:graphicFrame macro="">
      <xdr:nvGraphicFramePr>
        <xdr:cNvPr id="19" name="Grafiek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45</xdr:col>
      <xdr:colOff>79375</xdr:colOff>
      <xdr:row>73</xdr:row>
      <xdr:rowOff>88899</xdr:rowOff>
    </xdr:from>
    <xdr:to>
      <xdr:col>50</xdr:col>
      <xdr:colOff>9525</xdr:colOff>
      <xdr:row>98</xdr:row>
      <xdr:rowOff>2293</xdr:rowOff>
    </xdr:to>
    <xdr:graphicFrame macro="">
      <xdr:nvGraphicFramePr>
        <xdr:cNvPr id="23" name="Grafiek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45</xdr:col>
      <xdr:colOff>114301</xdr:colOff>
      <xdr:row>99</xdr:row>
      <xdr:rowOff>104775</xdr:rowOff>
    </xdr:from>
    <xdr:to>
      <xdr:col>50</xdr:col>
      <xdr:colOff>38100</xdr:colOff>
      <xdr:row>118</xdr:row>
      <xdr:rowOff>146050</xdr:rowOff>
    </xdr:to>
    <xdr:graphicFrame macro="">
      <xdr:nvGraphicFramePr>
        <xdr:cNvPr id="24" name="Grafiek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45</xdr:col>
      <xdr:colOff>120649</xdr:colOff>
      <xdr:row>119</xdr:row>
      <xdr:rowOff>76201</xdr:rowOff>
    </xdr:from>
    <xdr:to>
      <xdr:col>50</xdr:col>
      <xdr:colOff>28575</xdr:colOff>
      <xdr:row>137</xdr:row>
      <xdr:rowOff>152401</xdr:rowOff>
    </xdr:to>
    <xdr:graphicFrame macro="">
      <xdr:nvGraphicFramePr>
        <xdr:cNvPr id="25" name="Grafiek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508001</xdr:colOff>
      <xdr:row>19</xdr:row>
      <xdr:rowOff>127000</xdr:rowOff>
    </xdr:from>
    <xdr:to>
      <xdr:col>44</xdr:col>
      <xdr:colOff>520700</xdr:colOff>
      <xdr:row>43</xdr:row>
      <xdr:rowOff>88900</xdr:rowOff>
    </xdr:to>
    <xdr:graphicFrame macro="">
      <xdr:nvGraphicFramePr>
        <xdr:cNvPr id="29" name="Grafiek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33</xdr:col>
      <xdr:colOff>171450</xdr:colOff>
      <xdr:row>102</xdr:row>
      <xdr:rowOff>19050</xdr:rowOff>
    </xdr:from>
    <xdr:to>
      <xdr:col>33</xdr:col>
      <xdr:colOff>447675</xdr:colOff>
      <xdr:row>103</xdr:row>
      <xdr:rowOff>133350</xdr:rowOff>
    </xdr:to>
    <xdr:sp macro="" textlink="">
      <xdr:nvSpPr>
        <xdr:cNvPr id="27" name="PIJL-OMLAAG 26"/>
        <xdr:cNvSpPr/>
      </xdr:nvSpPr>
      <xdr:spPr>
        <a:xfrm>
          <a:off x="9753600" y="428625"/>
          <a:ext cx="276225"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34</xdr:col>
      <xdr:colOff>190500</xdr:colOff>
      <xdr:row>102</xdr:row>
      <xdr:rowOff>0</xdr:rowOff>
    </xdr:from>
    <xdr:to>
      <xdr:col>34</xdr:col>
      <xdr:colOff>466725</xdr:colOff>
      <xdr:row>103</xdr:row>
      <xdr:rowOff>114300</xdr:rowOff>
    </xdr:to>
    <xdr:sp macro="" textlink="">
      <xdr:nvSpPr>
        <xdr:cNvPr id="28" name="PIJL-OMLAAG 27"/>
        <xdr:cNvSpPr/>
      </xdr:nvSpPr>
      <xdr:spPr>
        <a:xfrm>
          <a:off x="10467975" y="409575"/>
          <a:ext cx="276225" cy="266700"/>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142875</xdr:colOff>
      <xdr:row>102</xdr:row>
      <xdr:rowOff>19050</xdr:rowOff>
    </xdr:from>
    <xdr:to>
      <xdr:col>35</xdr:col>
      <xdr:colOff>419100</xdr:colOff>
      <xdr:row>103</xdr:row>
      <xdr:rowOff>133350</xdr:rowOff>
    </xdr:to>
    <xdr:sp macro="" textlink="">
      <xdr:nvSpPr>
        <xdr:cNvPr id="32" name="PIJL-OMLAAG 31"/>
        <xdr:cNvSpPr/>
      </xdr:nvSpPr>
      <xdr:spPr>
        <a:xfrm>
          <a:off x="11182350" y="428625"/>
          <a:ext cx="276225" cy="266700"/>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33</xdr:col>
      <xdr:colOff>95250</xdr:colOff>
      <xdr:row>50</xdr:row>
      <xdr:rowOff>0</xdr:rowOff>
    </xdr:from>
    <xdr:to>
      <xdr:col>33</xdr:col>
      <xdr:colOff>371475</xdr:colOff>
      <xdr:row>52</xdr:row>
      <xdr:rowOff>0</xdr:rowOff>
    </xdr:to>
    <xdr:sp macro="" textlink="">
      <xdr:nvSpPr>
        <xdr:cNvPr id="34" name="PIJL-OMLAAG 33"/>
        <xdr:cNvSpPr/>
      </xdr:nvSpPr>
      <xdr:spPr>
        <a:xfrm>
          <a:off x="9677400" y="10715625"/>
          <a:ext cx="276225" cy="266700"/>
        </a:xfrm>
        <a:prstGeom prst="down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34</xdr:col>
      <xdr:colOff>133350</xdr:colOff>
      <xdr:row>50</xdr:row>
      <xdr:rowOff>9525</xdr:rowOff>
    </xdr:from>
    <xdr:to>
      <xdr:col>34</xdr:col>
      <xdr:colOff>409575</xdr:colOff>
      <xdr:row>52</xdr:row>
      <xdr:rowOff>9525</xdr:rowOff>
    </xdr:to>
    <xdr:sp macro="" textlink="">
      <xdr:nvSpPr>
        <xdr:cNvPr id="35" name="PIJL-OMLAAG 34"/>
        <xdr:cNvSpPr/>
      </xdr:nvSpPr>
      <xdr:spPr>
        <a:xfrm>
          <a:off x="10410825" y="10725150"/>
          <a:ext cx="276225" cy="266700"/>
        </a:xfrm>
        <a:prstGeom prst="downArrow">
          <a:avLst/>
        </a:prstGeom>
        <a:solidFill>
          <a:schemeClr val="bg1">
            <a:lumMod val="75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66675</xdr:colOff>
      <xdr:row>50</xdr:row>
      <xdr:rowOff>19050</xdr:rowOff>
    </xdr:from>
    <xdr:to>
      <xdr:col>35</xdr:col>
      <xdr:colOff>342900</xdr:colOff>
      <xdr:row>52</xdr:row>
      <xdr:rowOff>19050</xdr:rowOff>
    </xdr:to>
    <xdr:sp macro="" textlink="">
      <xdr:nvSpPr>
        <xdr:cNvPr id="36" name="PIJL-OMLAAG 35"/>
        <xdr:cNvSpPr/>
      </xdr:nvSpPr>
      <xdr:spPr>
        <a:xfrm>
          <a:off x="11106150" y="10734675"/>
          <a:ext cx="276225" cy="266700"/>
        </a:xfrm>
        <a:prstGeom prst="downArrow">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36</xdr:col>
      <xdr:colOff>111125</xdr:colOff>
      <xdr:row>48</xdr:row>
      <xdr:rowOff>6350</xdr:rowOff>
    </xdr:from>
    <xdr:to>
      <xdr:col>40</xdr:col>
      <xdr:colOff>609600</xdr:colOff>
      <xdr:row>72</xdr:row>
      <xdr:rowOff>114300</xdr:rowOff>
    </xdr:to>
    <xdr:graphicFrame macro="">
      <xdr:nvGraphicFramePr>
        <xdr:cNvPr id="37" name="Grafiek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40</xdr:col>
      <xdr:colOff>634999</xdr:colOff>
      <xdr:row>47</xdr:row>
      <xdr:rowOff>130175</xdr:rowOff>
    </xdr:from>
    <xdr:to>
      <xdr:col>44</xdr:col>
      <xdr:colOff>479424</xdr:colOff>
      <xdr:row>72</xdr:row>
      <xdr:rowOff>117475</xdr:rowOff>
    </xdr:to>
    <xdr:graphicFrame macro="">
      <xdr:nvGraphicFramePr>
        <xdr:cNvPr id="38" name="Grafiek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428625</xdr:colOff>
      <xdr:row>5</xdr:row>
      <xdr:rowOff>47625</xdr:rowOff>
    </xdr:from>
    <xdr:to>
      <xdr:col>15</xdr:col>
      <xdr:colOff>0</xdr:colOff>
      <xdr:row>36</xdr:row>
      <xdr:rowOff>133350</xdr:rowOff>
    </xdr:to>
    <xdr:sp macro="" textlink="">
      <xdr:nvSpPr>
        <xdr:cNvPr id="39" name="Rechteraccolade 38"/>
        <xdr:cNvSpPr/>
      </xdr:nvSpPr>
      <xdr:spPr>
        <a:xfrm>
          <a:off x="7458075" y="800100"/>
          <a:ext cx="657225" cy="481012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15</xdr:col>
      <xdr:colOff>104775</xdr:colOff>
      <xdr:row>21</xdr:row>
      <xdr:rowOff>0</xdr:rowOff>
    </xdr:from>
    <xdr:to>
      <xdr:col>15</xdr:col>
      <xdr:colOff>419100</xdr:colOff>
      <xdr:row>21</xdr:row>
      <xdr:rowOff>0</xdr:rowOff>
    </xdr:to>
    <xdr:cxnSp macro="">
      <xdr:nvCxnSpPr>
        <xdr:cNvPr id="41" name="Rechte verbindingslijn met pijl 40"/>
        <xdr:cNvCxnSpPr/>
      </xdr:nvCxnSpPr>
      <xdr:spPr>
        <a:xfrm>
          <a:off x="8220075" y="3190875"/>
          <a:ext cx="31432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85726</xdr:colOff>
      <xdr:row>5</xdr:row>
      <xdr:rowOff>9525</xdr:rowOff>
    </xdr:from>
    <xdr:to>
      <xdr:col>24</xdr:col>
      <xdr:colOff>485776</xdr:colOff>
      <xdr:row>37</xdr:row>
      <xdr:rowOff>104775</xdr:rowOff>
    </xdr:to>
    <xdr:sp macro="" textlink="">
      <xdr:nvSpPr>
        <xdr:cNvPr id="42" name="Rechteraccolade 41"/>
        <xdr:cNvSpPr/>
      </xdr:nvSpPr>
      <xdr:spPr>
        <a:xfrm>
          <a:off x="13268326" y="419100"/>
          <a:ext cx="400050" cy="4972050"/>
        </a:xfrm>
        <a:prstGeom prst="rightBrace">
          <a:avLst>
            <a:gd name="adj1" fmla="val 8333"/>
            <a:gd name="adj2" fmla="val 19732"/>
          </a:avLst>
        </a:prstGeom>
        <a:ln w="19050"/>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45</xdr:col>
      <xdr:colOff>142875</xdr:colOff>
      <xdr:row>139</xdr:row>
      <xdr:rowOff>85724</xdr:rowOff>
    </xdr:from>
    <xdr:to>
      <xdr:col>50</xdr:col>
      <xdr:colOff>95250</xdr:colOff>
      <xdr:row>158</xdr:row>
      <xdr:rowOff>152399</xdr:rowOff>
    </xdr:to>
    <xdr:graphicFrame macro="">
      <xdr:nvGraphicFramePr>
        <xdr:cNvPr id="31" name="Grafiek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3</xdr:col>
      <xdr:colOff>91816</xdr:colOff>
      <xdr:row>2</xdr:row>
      <xdr:rowOff>0</xdr:rowOff>
    </xdr:from>
    <xdr:ext cx="418640" cy="655885"/>
    <xdr:sp macro="" textlink="">
      <xdr:nvSpPr>
        <xdr:cNvPr id="40" name="Rechthoek 39"/>
        <xdr:cNvSpPr/>
      </xdr:nvSpPr>
      <xdr:spPr>
        <a:xfrm>
          <a:off x="1196716" y="0"/>
          <a:ext cx="418640"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17</xdr:col>
      <xdr:colOff>139700</xdr:colOff>
      <xdr:row>84</xdr:row>
      <xdr:rowOff>107950</xdr:rowOff>
    </xdr:from>
    <xdr:ext cx="418641" cy="655885"/>
    <xdr:sp macro="" textlink="">
      <xdr:nvSpPr>
        <xdr:cNvPr id="43" name="Rechthoek 42"/>
        <xdr:cNvSpPr/>
      </xdr:nvSpPr>
      <xdr:spPr>
        <a:xfrm>
          <a:off x="9055100" y="123571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5</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24</xdr:col>
      <xdr:colOff>292100</xdr:colOff>
      <xdr:row>2</xdr:row>
      <xdr:rowOff>38100</xdr:rowOff>
    </xdr:from>
    <xdr:ext cx="418641" cy="655885"/>
    <xdr:sp macro="" textlink="">
      <xdr:nvSpPr>
        <xdr:cNvPr id="44" name="Rechthoek 43"/>
        <xdr:cNvSpPr/>
      </xdr:nvSpPr>
      <xdr:spPr>
        <a:xfrm>
          <a:off x="13512800" y="381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3</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17</xdr:col>
      <xdr:colOff>76200</xdr:colOff>
      <xdr:row>2</xdr:row>
      <xdr:rowOff>50800</xdr:rowOff>
    </xdr:from>
    <xdr:ext cx="418641" cy="655885"/>
    <xdr:sp macro="" textlink="">
      <xdr:nvSpPr>
        <xdr:cNvPr id="45" name="Rechthoek 44"/>
        <xdr:cNvSpPr/>
      </xdr:nvSpPr>
      <xdr:spPr>
        <a:xfrm>
          <a:off x="9029700" y="508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2</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13</xdr:col>
      <xdr:colOff>95250</xdr:colOff>
      <xdr:row>48</xdr:row>
      <xdr:rowOff>63500</xdr:rowOff>
    </xdr:from>
    <xdr:ext cx="418641" cy="655885"/>
    <xdr:sp macro="" textlink="">
      <xdr:nvSpPr>
        <xdr:cNvPr id="46" name="Rechthoek 45"/>
        <xdr:cNvSpPr/>
      </xdr:nvSpPr>
      <xdr:spPr>
        <a:xfrm>
          <a:off x="7181850" y="75311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4</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17</xdr:col>
      <xdr:colOff>139700</xdr:colOff>
      <xdr:row>53</xdr:row>
      <xdr:rowOff>12700</xdr:rowOff>
    </xdr:from>
    <xdr:ext cx="418641" cy="655885"/>
    <xdr:sp macro="" textlink="">
      <xdr:nvSpPr>
        <xdr:cNvPr id="47" name="Rechthoek 46"/>
        <xdr:cNvSpPr/>
      </xdr:nvSpPr>
      <xdr:spPr>
        <a:xfrm>
          <a:off x="9093200" y="81026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6</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17</xdr:col>
      <xdr:colOff>177800</xdr:colOff>
      <xdr:row>61</xdr:row>
      <xdr:rowOff>38100</xdr:rowOff>
    </xdr:from>
    <xdr:ext cx="418641" cy="655885"/>
    <xdr:sp macro="" textlink="">
      <xdr:nvSpPr>
        <xdr:cNvPr id="48" name="Rechthoek 47"/>
        <xdr:cNvSpPr/>
      </xdr:nvSpPr>
      <xdr:spPr>
        <a:xfrm>
          <a:off x="9131300" y="92456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7</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36</xdr:col>
      <xdr:colOff>38100</xdr:colOff>
      <xdr:row>4</xdr:row>
      <xdr:rowOff>0</xdr:rowOff>
    </xdr:from>
    <xdr:ext cx="418641" cy="655885"/>
    <xdr:sp macro="" textlink="">
      <xdr:nvSpPr>
        <xdr:cNvPr id="49" name="Rechthoek 48"/>
        <xdr:cNvSpPr/>
      </xdr:nvSpPr>
      <xdr:spPr>
        <a:xfrm>
          <a:off x="20459700" y="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8</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36</xdr:col>
      <xdr:colOff>127000</xdr:colOff>
      <xdr:row>16</xdr:row>
      <xdr:rowOff>139700</xdr:rowOff>
    </xdr:from>
    <xdr:ext cx="418641" cy="655885"/>
    <xdr:sp macro="" textlink="">
      <xdr:nvSpPr>
        <xdr:cNvPr id="50" name="Rechthoek 49"/>
        <xdr:cNvSpPr/>
      </xdr:nvSpPr>
      <xdr:spPr>
        <a:xfrm>
          <a:off x="20548600" y="1917700"/>
          <a:ext cx="418641"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lt"/>
              <a:ea typeface="+mn-ea"/>
              <a:cs typeface="+mn-cs"/>
            </a:rPr>
            <a:t>9</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32</xdr:col>
      <xdr:colOff>48113</xdr:colOff>
      <xdr:row>71</xdr:row>
      <xdr:rowOff>127000</xdr:rowOff>
    </xdr:from>
    <xdr:ext cx="652615" cy="655885"/>
    <xdr:sp macro="" textlink="">
      <xdr:nvSpPr>
        <xdr:cNvPr id="51" name="Rechthoek 50"/>
        <xdr:cNvSpPr/>
      </xdr:nvSpPr>
      <xdr:spPr>
        <a:xfrm>
          <a:off x="17624913" y="10731500"/>
          <a:ext cx="652615"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11</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31</xdr:col>
      <xdr:colOff>48113</xdr:colOff>
      <xdr:row>102</xdr:row>
      <xdr:rowOff>38100</xdr:rowOff>
    </xdr:from>
    <xdr:ext cx="652615" cy="655885"/>
    <xdr:sp macro="" textlink="">
      <xdr:nvSpPr>
        <xdr:cNvPr id="52" name="Rechthoek 51"/>
        <xdr:cNvSpPr/>
      </xdr:nvSpPr>
      <xdr:spPr>
        <a:xfrm>
          <a:off x="17536013" y="15062200"/>
          <a:ext cx="652615"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12</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31</xdr:col>
      <xdr:colOff>35413</xdr:colOff>
      <xdr:row>120</xdr:row>
      <xdr:rowOff>50800</xdr:rowOff>
    </xdr:from>
    <xdr:ext cx="652615" cy="655885"/>
    <xdr:sp macro="" textlink="">
      <xdr:nvSpPr>
        <xdr:cNvPr id="53" name="Rechthoek 52"/>
        <xdr:cNvSpPr/>
      </xdr:nvSpPr>
      <xdr:spPr>
        <a:xfrm>
          <a:off x="17523313" y="18503900"/>
          <a:ext cx="652615"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13</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31</xdr:col>
      <xdr:colOff>73513</xdr:colOff>
      <xdr:row>47</xdr:row>
      <xdr:rowOff>127000</xdr:rowOff>
    </xdr:from>
    <xdr:ext cx="652615" cy="655885"/>
    <xdr:sp macro="" textlink="">
      <xdr:nvSpPr>
        <xdr:cNvPr id="54" name="Rechthoek 53"/>
        <xdr:cNvSpPr/>
      </xdr:nvSpPr>
      <xdr:spPr>
        <a:xfrm>
          <a:off x="17561413" y="7416800"/>
          <a:ext cx="652615"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10</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oneCellAnchor>
    <xdr:from>
      <xdr:col>32</xdr:col>
      <xdr:colOff>10013</xdr:colOff>
      <xdr:row>140</xdr:row>
      <xdr:rowOff>76200</xdr:rowOff>
    </xdr:from>
    <xdr:ext cx="652615" cy="655885"/>
    <xdr:sp macro="" textlink="">
      <xdr:nvSpPr>
        <xdr:cNvPr id="55" name="Rechthoek 54"/>
        <xdr:cNvSpPr/>
      </xdr:nvSpPr>
      <xdr:spPr>
        <a:xfrm>
          <a:off x="17586813" y="22339300"/>
          <a:ext cx="652615" cy="655885"/>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nl-NL"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14</a:t>
          </a:r>
          <a:endParaRPr lang="nl-NL" sz="1100" b="1">
            <a:effectLst>
              <a:outerShdw blurRad="50800" dist="38100" algn="tr" rotWithShape="0">
                <a:prstClr val="black">
                  <a:alpha val="40000"/>
                </a:prstClr>
              </a:outerShdw>
            </a:effectLst>
            <a:latin typeface="+mn-lt"/>
            <a:ea typeface="+mn-ea"/>
            <a:cs typeface="+mn-cs"/>
          </a:endParaRPr>
        </a:p>
      </xdr:txBody>
    </xdr:sp>
    <xdr:clientData/>
  </xdr:oneCellAnchor>
  <xdr:twoCellAnchor>
    <xdr:from>
      <xdr:col>13</xdr:col>
      <xdr:colOff>95250</xdr:colOff>
      <xdr:row>95</xdr:row>
      <xdr:rowOff>104775</xdr:rowOff>
    </xdr:from>
    <xdr:to>
      <xdr:col>13</xdr:col>
      <xdr:colOff>352425</xdr:colOff>
      <xdr:row>97</xdr:row>
      <xdr:rowOff>95250</xdr:rowOff>
    </xdr:to>
    <xdr:sp macro="" textlink="">
      <xdr:nvSpPr>
        <xdr:cNvPr id="56" name="Rechteraccolade 55"/>
        <xdr:cNvSpPr/>
      </xdr:nvSpPr>
      <xdr:spPr>
        <a:xfrm>
          <a:off x="7124700" y="13877925"/>
          <a:ext cx="257175" cy="257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13</xdr:col>
      <xdr:colOff>419100</xdr:colOff>
      <xdr:row>94</xdr:row>
      <xdr:rowOff>85725</xdr:rowOff>
    </xdr:from>
    <xdr:to>
      <xdr:col>15</xdr:col>
      <xdr:colOff>38100</xdr:colOff>
      <xdr:row>96</xdr:row>
      <xdr:rowOff>47625</xdr:rowOff>
    </xdr:to>
    <xdr:cxnSp macro="">
      <xdr:nvCxnSpPr>
        <xdr:cNvPr id="58" name="Rechte verbindingslijn met pijl 57"/>
        <xdr:cNvCxnSpPr/>
      </xdr:nvCxnSpPr>
      <xdr:spPr>
        <a:xfrm flipV="1">
          <a:off x="7448550" y="13725525"/>
          <a:ext cx="704850"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96</xdr:row>
      <xdr:rowOff>57150</xdr:rowOff>
    </xdr:from>
    <xdr:to>
      <xdr:col>7</xdr:col>
      <xdr:colOff>428625</xdr:colOff>
      <xdr:row>96</xdr:row>
      <xdr:rowOff>57150</xdr:rowOff>
    </xdr:to>
    <xdr:cxnSp macro="">
      <xdr:nvCxnSpPr>
        <xdr:cNvPr id="63" name="Rechte verbindingslijn met pijl 62"/>
        <xdr:cNvCxnSpPr/>
      </xdr:nvCxnSpPr>
      <xdr:spPr>
        <a:xfrm>
          <a:off x="3629025" y="13963650"/>
          <a:ext cx="3333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39</xdr:row>
      <xdr:rowOff>123825</xdr:rowOff>
    </xdr:from>
    <xdr:to>
      <xdr:col>8</xdr:col>
      <xdr:colOff>276226</xdr:colOff>
      <xdr:row>41</xdr:row>
      <xdr:rowOff>114300</xdr:rowOff>
    </xdr:to>
    <xdr:cxnSp macro="">
      <xdr:nvCxnSpPr>
        <xdr:cNvPr id="65" name="Rechte verbindingslijn met pijl 64"/>
        <xdr:cNvCxnSpPr/>
      </xdr:nvCxnSpPr>
      <xdr:spPr>
        <a:xfrm flipH="1" flipV="1">
          <a:off x="4410075" y="6096000"/>
          <a:ext cx="1"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45</xdr:row>
      <xdr:rowOff>47625</xdr:rowOff>
    </xdr:from>
    <xdr:to>
      <xdr:col>8</xdr:col>
      <xdr:colOff>257176</xdr:colOff>
      <xdr:row>46</xdr:row>
      <xdr:rowOff>114300</xdr:rowOff>
    </xdr:to>
    <xdr:cxnSp macro="">
      <xdr:nvCxnSpPr>
        <xdr:cNvPr id="69" name="Rechte verbindingslijn met pijl 68"/>
        <xdr:cNvCxnSpPr/>
      </xdr:nvCxnSpPr>
      <xdr:spPr>
        <a:xfrm flipH="1">
          <a:off x="4391025" y="7086600"/>
          <a:ext cx="1"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406400</xdr:colOff>
      <xdr:row>61</xdr:row>
      <xdr:rowOff>50800</xdr:rowOff>
    </xdr:from>
    <xdr:to>
      <xdr:col>23</xdr:col>
      <xdr:colOff>228600</xdr:colOff>
      <xdr:row>61</xdr:row>
      <xdr:rowOff>50800</xdr:rowOff>
    </xdr:to>
    <xdr:cxnSp macro="">
      <xdr:nvCxnSpPr>
        <xdr:cNvPr id="73" name="Rechte verbindingslijn met pijl 72"/>
        <xdr:cNvCxnSpPr/>
      </xdr:nvCxnSpPr>
      <xdr:spPr>
        <a:xfrm>
          <a:off x="12560300" y="9347200"/>
          <a:ext cx="431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457200</xdr:colOff>
      <xdr:row>61</xdr:row>
      <xdr:rowOff>63500</xdr:rowOff>
    </xdr:from>
    <xdr:to>
      <xdr:col>22</xdr:col>
      <xdr:colOff>203200</xdr:colOff>
      <xdr:row>61</xdr:row>
      <xdr:rowOff>63500</xdr:rowOff>
    </xdr:to>
    <xdr:cxnSp macro="">
      <xdr:nvCxnSpPr>
        <xdr:cNvPr id="75" name="Rechte verbindingslijn met pijl 74"/>
        <xdr:cNvCxnSpPr/>
      </xdr:nvCxnSpPr>
      <xdr:spPr>
        <a:xfrm flipH="1">
          <a:off x="12001500" y="9359900"/>
          <a:ext cx="355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0</xdr:rowOff>
    </xdr:from>
    <xdr:to>
      <xdr:col>21</xdr:col>
      <xdr:colOff>28575</xdr:colOff>
      <xdr:row>36</xdr:row>
      <xdr:rowOff>115250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305175" y="0"/>
          <a:ext cx="9525000" cy="6973250"/>
        </a:xfrm>
        <a:prstGeom prst="rect">
          <a:avLst/>
        </a:prstGeom>
        <a:noFill/>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rovers@ribuilt.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M41"/>
  <sheetViews>
    <sheetView tabSelected="1" workbookViewId="0">
      <selection activeCell="K17" sqref="K17"/>
    </sheetView>
  </sheetViews>
  <sheetFormatPr defaultRowHeight="15"/>
  <sheetData>
    <row r="3" spans="8:13" ht="26.25">
      <c r="H3" s="324" t="s">
        <v>238</v>
      </c>
    </row>
    <row r="4" spans="8:13" ht="21">
      <c r="H4" s="325" t="s">
        <v>239</v>
      </c>
    </row>
    <row r="9" spans="8:13">
      <c r="K9" t="s">
        <v>241</v>
      </c>
    </row>
    <row r="10" spans="8:13">
      <c r="K10" t="s">
        <v>242</v>
      </c>
    </row>
    <row r="11" spans="8:13">
      <c r="K11" t="s">
        <v>243</v>
      </c>
    </row>
    <row r="12" spans="8:13">
      <c r="K12" t="s">
        <v>244</v>
      </c>
      <c r="M12" s="326" t="s">
        <v>248</v>
      </c>
    </row>
    <row r="13" spans="8:13">
      <c r="K13" t="s">
        <v>245</v>
      </c>
    </row>
    <row r="14" spans="8:13">
      <c r="K14" t="s">
        <v>246</v>
      </c>
    </row>
    <row r="15" spans="8:13">
      <c r="K15" t="s">
        <v>247</v>
      </c>
    </row>
    <row r="17" spans="2:4">
      <c r="D17" t="s">
        <v>240</v>
      </c>
    </row>
    <row r="19" spans="2:4">
      <c r="B19" t="s">
        <v>268</v>
      </c>
    </row>
    <row r="20" spans="2:4">
      <c r="B20" t="s">
        <v>269</v>
      </c>
    </row>
    <row r="21" spans="2:4">
      <c r="B21" t="s">
        <v>270</v>
      </c>
    </row>
    <row r="22" spans="2:4">
      <c r="B22" t="s">
        <v>271</v>
      </c>
    </row>
    <row r="23" spans="2:4">
      <c r="B23" t="s">
        <v>272</v>
      </c>
    </row>
    <row r="24" spans="2:4">
      <c r="B24" t="s">
        <v>273</v>
      </c>
    </row>
    <row r="25" spans="2:4">
      <c r="B25" t="s">
        <v>274</v>
      </c>
    </row>
    <row r="26" spans="2:4">
      <c r="B26" t="s">
        <v>275</v>
      </c>
    </row>
    <row r="27" spans="2:4">
      <c r="B27" t="s">
        <v>276</v>
      </c>
    </row>
    <row r="28" spans="2:4">
      <c r="B28" t="s">
        <v>277</v>
      </c>
    </row>
    <row r="29" spans="2:4">
      <c r="B29" t="s">
        <v>278</v>
      </c>
    </row>
    <row r="30" spans="2:4">
      <c r="B30" t="s">
        <v>279</v>
      </c>
    </row>
    <row r="31" spans="2:4">
      <c r="B31" t="s">
        <v>280</v>
      </c>
    </row>
    <row r="32" spans="2:4">
      <c r="B32" t="s">
        <v>281</v>
      </c>
    </row>
    <row r="33" spans="2:2">
      <c r="B33" t="s">
        <v>282</v>
      </c>
    </row>
    <row r="34" spans="2:2">
      <c r="B34" t="s">
        <v>283</v>
      </c>
    </row>
    <row r="35" spans="2:2">
      <c r="B35" t="s">
        <v>284</v>
      </c>
    </row>
    <row r="36" spans="2:2">
      <c r="B36" t="s">
        <v>285</v>
      </c>
    </row>
    <row r="37" spans="2:2">
      <c r="B37" t="s">
        <v>286</v>
      </c>
    </row>
    <row r="38" spans="2:2">
      <c r="B38" t="s">
        <v>287</v>
      </c>
    </row>
    <row r="39" spans="2:2">
      <c r="B39" t="s">
        <v>288</v>
      </c>
    </row>
    <row r="40" spans="2:2">
      <c r="B40" t="s">
        <v>289</v>
      </c>
    </row>
    <row r="41" spans="2:2">
      <c r="B41" t="s">
        <v>290</v>
      </c>
    </row>
  </sheetData>
  <hyperlinks>
    <hyperlink ref="M12"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rgb="FF00CC00"/>
  </sheetPr>
  <dimension ref="A1:CG167"/>
  <sheetViews>
    <sheetView zoomScale="50" zoomScaleNormal="50" workbookViewId="0">
      <selection activeCell="AD145" sqref="AD145"/>
    </sheetView>
  </sheetViews>
  <sheetFormatPr defaultRowHeight="15"/>
  <cols>
    <col min="1" max="1" width="0.42578125" customWidth="1"/>
    <col min="2" max="2" width="13.28515625" style="25" customWidth="1"/>
    <col min="3" max="3" width="6.85546875" style="25" customWidth="1"/>
    <col min="4" max="4" width="6.5703125" style="25" customWidth="1"/>
    <col min="5" max="5" width="8" style="25" customWidth="1"/>
    <col min="6" max="6" width="8.42578125" style="120" customWidth="1"/>
    <col min="7" max="7" width="8.28515625" style="25" customWidth="1"/>
    <col min="8" max="8" width="9" style="25" customWidth="1"/>
    <col min="9" max="9" width="8.5703125" style="25" customWidth="1"/>
    <col min="10" max="10" width="9.5703125" style="25" customWidth="1"/>
    <col min="11" max="11" width="8.140625" style="25" customWidth="1"/>
    <col min="12" max="12" width="10.28515625" style="25" customWidth="1"/>
    <col min="13" max="13" width="8.5703125" style="25" customWidth="1"/>
    <col min="14" max="14" width="8.85546875" style="25" customWidth="1"/>
    <col min="15" max="16" width="7.42578125" style="25" customWidth="1"/>
    <col min="17" max="17" width="6.5703125" style="25" customWidth="1"/>
    <col min="26" max="26" width="8.140625" customWidth="1"/>
    <col min="27" max="27" width="8.42578125" customWidth="1"/>
    <col min="28" max="29" width="8" customWidth="1"/>
    <col min="30" max="30" width="8.7109375" customWidth="1"/>
    <col min="31" max="31" width="8.140625" customWidth="1"/>
    <col min="32" max="32" width="1.28515625" customWidth="1"/>
    <col min="33" max="33" width="9.7109375" customWidth="1"/>
    <col min="34" max="34" width="10.7109375" bestFit="1" customWidth="1"/>
    <col min="35" max="35" width="10.42578125" customWidth="1"/>
    <col min="36" max="36" width="11.7109375" bestFit="1" customWidth="1"/>
    <col min="37" max="37" width="11.5703125" customWidth="1"/>
    <col min="38" max="38" width="1" customWidth="1"/>
    <col min="39" max="39" width="11.42578125" customWidth="1"/>
    <col min="40" max="40" width="11.28515625" bestFit="1" customWidth="1"/>
    <col min="41" max="41" width="10.7109375" bestFit="1" customWidth="1"/>
    <col min="42" max="42" width="11.7109375" bestFit="1" customWidth="1"/>
    <col min="43" max="43" width="10.42578125" bestFit="1" customWidth="1"/>
    <col min="44" max="44" width="11.140625" bestFit="1" customWidth="1"/>
    <col min="67" max="69" width="9.42578125" bestFit="1" customWidth="1"/>
  </cols>
  <sheetData>
    <row r="1" spans="1:60" ht="12" customHeight="1">
      <c r="A1" s="26"/>
    </row>
    <row r="2" spans="1:60" ht="12" customHeight="1">
      <c r="A2" s="26"/>
    </row>
    <row r="3" spans="1:60" ht="11.25" customHeight="1">
      <c r="A3" s="26"/>
      <c r="B3" s="60" t="s">
        <v>56</v>
      </c>
      <c r="E3" s="130"/>
      <c r="F3" s="144"/>
      <c r="G3" s="130"/>
      <c r="H3" s="130"/>
      <c r="I3" s="130"/>
      <c r="J3" s="130"/>
      <c r="K3" s="130"/>
    </row>
    <row r="4" spans="1:60" ht="12" customHeight="1">
      <c r="A4" s="26"/>
      <c r="B4" s="60"/>
      <c r="E4" s="130"/>
      <c r="F4" s="144"/>
      <c r="G4" s="130"/>
      <c r="H4" s="130"/>
      <c r="I4" s="130"/>
      <c r="J4" s="130"/>
      <c r="K4" s="130"/>
    </row>
    <row r="5" spans="1:60" ht="12" customHeight="1" thickBot="1">
      <c r="A5" s="26"/>
      <c r="B5" s="60"/>
      <c r="F5" s="144"/>
      <c r="G5" s="130"/>
      <c r="H5" s="130"/>
      <c r="I5" s="130"/>
      <c r="J5" s="130"/>
      <c r="K5" s="130"/>
    </row>
    <row r="6" spans="1:60" ht="12" customHeight="1" thickBot="1">
      <c r="A6" s="26"/>
      <c r="E6" s="134" t="s">
        <v>151</v>
      </c>
      <c r="F6" s="136"/>
      <c r="G6" s="134" t="s">
        <v>213</v>
      </c>
      <c r="H6" s="118"/>
      <c r="I6" s="118" t="s">
        <v>214</v>
      </c>
      <c r="J6" s="118"/>
      <c r="K6" s="134" t="s">
        <v>215</v>
      </c>
      <c r="L6" s="134"/>
      <c r="M6" s="118"/>
      <c r="S6" s="134"/>
      <c r="T6" s="135" t="s">
        <v>39</v>
      </c>
      <c r="U6" s="118"/>
      <c r="V6" s="118" t="s">
        <v>77</v>
      </c>
      <c r="W6" s="134" t="s">
        <v>78</v>
      </c>
      <c r="X6" s="134"/>
      <c r="Z6" s="249" t="s">
        <v>60</v>
      </c>
      <c r="AA6" s="250"/>
      <c r="AB6" s="250"/>
      <c r="AC6" s="250"/>
      <c r="AD6" s="250"/>
      <c r="AE6" s="251"/>
      <c r="AG6" s="195" t="s">
        <v>220</v>
      </c>
      <c r="AH6" s="196" t="s">
        <v>325</v>
      </c>
      <c r="AI6" s="196"/>
      <c r="AJ6" s="197"/>
    </row>
    <row r="7" spans="1:60" ht="12" customHeight="1">
      <c r="A7" s="26"/>
      <c r="B7" s="61" t="s">
        <v>33</v>
      </c>
      <c r="C7" s="62"/>
      <c r="D7" s="62"/>
      <c r="E7" s="63" t="s">
        <v>211</v>
      </c>
      <c r="F7" s="178" t="s">
        <v>208</v>
      </c>
      <c r="G7" s="386" t="s">
        <v>202</v>
      </c>
      <c r="H7" s="62" t="s">
        <v>209</v>
      </c>
      <c r="I7" s="62" t="s">
        <v>210</v>
      </c>
      <c r="J7" s="64" t="s">
        <v>206</v>
      </c>
      <c r="K7" s="62" t="s">
        <v>32</v>
      </c>
      <c r="L7" s="312" t="s">
        <v>207</v>
      </c>
      <c r="M7" s="258" t="s">
        <v>37</v>
      </c>
      <c r="S7" s="167" t="s">
        <v>76</v>
      </c>
      <c r="T7" s="168" t="s">
        <v>39</v>
      </c>
      <c r="U7" s="167" t="s">
        <v>38</v>
      </c>
      <c r="V7" s="169" t="s">
        <v>59</v>
      </c>
      <c r="W7" s="167" t="s">
        <v>52</v>
      </c>
      <c r="X7" s="169" t="s">
        <v>71</v>
      </c>
      <c r="Z7" s="23" t="s">
        <v>190</v>
      </c>
      <c r="AA7" s="62"/>
      <c r="AB7" s="65"/>
      <c r="AC7" s="23" t="s">
        <v>191</v>
      </c>
      <c r="AD7" s="15"/>
      <c r="AE7" s="65"/>
      <c r="AG7" s="198" t="s">
        <v>324</v>
      </c>
      <c r="AH7" s="137"/>
      <c r="AI7" s="137"/>
      <c r="AJ7" s="199"/>
    </row>
    <row r="8" spans="1:60" ht="12" customHeight="1">
      <c r="A8" s="26"/>
      <c r="B8" s="69"/>
      <c r="C8" s="70"/>
      <c r="E8" s="25" t="s">
        <v>212</v>
      </c>
      <c r="F8" s="183"/>
      <c r="G8" s="387" t="s">
        <v>203</v>
      </c>
      <c r="J8" s="72"/>
      <c r="L8" s="93"/>
      <c r="M8" s="259" t="s">
        <v>75</v>
      </c>
      <c r="S8" s="141"/>
      <c r="T8" s="166" t="s">
        <v>42</v>
      </c>
      <c r="U8" s="165"/>
      <c r="V8" s="142"/>
      <c r="X8" s="142"/>
      <c r="Z8" s="128" t="s">
        <v>194</v>
      </c>
      <c r="AA8" s="76" t="s">
        <v>51</v>
      </c>
      <c r="AB8" s="71" t="s">
        <v>192</v>
      </c>
      <c r="AC8" s="128" t="s">
        <v>194</v>
      </c>
      <c r="AD8" s="76" t="s">
        <v>51</v>
      </c>
      <c r="AE8" s="71" t="s">
        <v>192</v>
      </c>
      <c r="AG8" s="200"/>
      <c r="AH8" s="201" t="s">
        <v>158</v>
      </c>
      <c r="AI8" s="201" t="s">
        <v>159</v>
      </c>
      <c r="AJ8" s="202" t="s">
        <v>160</v>
      </c>
      <c r="AK8" s="25"/>
      <c r="AM8" s="25"/>
      <c r="BB8" s="24"/>
      <c r="BC8" s="24"/>
      <c r="BD8" s="24"/>
      <c r="BE8" s="24"/>
      <c r="BF8" s="24"/>
      <c r="BG8" s="24"/>
      <c r="BH8" s="24"/>
    </row>
    <row r="9" spans="1:60" ht="12" customHeight="1" thickBot="1">
      <c r="A9" s="26"/>
      <c r="D9" s="70" t="s">
        <v>30</v>
      </c>
      <c r="E9" s="69" t="s">
        <v>205</v>
      </c>
      <c r="F9" s="121" t="s">
        <v>204</v>
      </c>
      <c r="G9" s="388" t="s">
        <v>129</v>
      </c>
      <c r="H9" s="70" t="s">
        <v>34</v>
      </c>
      <c r="I9" s="70" t="s">
        <v>205</v>
      </c>
      <c r="J9" s="84" t="s">
        <v>204</v>
      </c>
      <c r="K9" s="74" t="s">
        <v>35</v>
      </c>
      <c r="L9" s="25" t="s">
        <v>204</v>
      </c>
      <c r="M9" s="307"/>
      <c r="S9" s="69" t="s">
        <v>201</v>
      </c>
      <c r="T9" s="276" t="s">
        <v>200</v>
      </c>
      <c r="U9" s="69" t="s">
        <v>201</v>
      </c>
      <c r="V9" s="170" t="s">
        <v>200</v>
      </c>
      <c r="W9" s="165" t="s">
        <v>201</v>
      </c>
      <c r="X9" s="170" t="s">
        <v>200</v>
      </c>
      <c r="Z9" s="128" t="s">
        <v>195</v>
      </c>
      <c r="AA9" s="70"/>
      <c r="AB9" s="71" t="s">
        <v>193</v>
      </c>
      <c r="AC9" s="128" t="s">
        <v>195</v>
      </c>
      <c r="AD9" s="70"/>
      <c r="AE9" s="71" t="s">
        <v>193</v>
      </c>
      <c r="AG9" s="203" t="s">
        <v>143</v>
      </c>
      <c r="AH9" s="204">
        <f>Z65</f>
        <v>0</v>
      </c>
      <c r="AI9" s="204">
        <f>G11</f>
        <v>0</v>
      </c>
      <c r="AJ9" s="205"/>
      <c r="AK9" s="25" t="s">
        <v>132</v>
      </c>
      <c r="AM9" s="26"/>
      <c r="BB9" s="24"/>
      <c r="BC9" s="24"/>
      <c r="BD9" s="24"/>
      <c r="BE9" s="24"/>
      <c r="BF9" s="24"/>
      <c r="BG9" s="24"/>
      <c r="BH9" s="24"/>
    </row>
    <row r="10" spans="1:60" ht="12" customHeight="1" thickBot="1">
      <c r="A10" s="26"/>
      <c r="B10" s="264" t="s">
        <v>0</v>
      </c>
      <c r="C10" s="62"/>
      <c r="D10" s="62"/>
      <c r="E10" s="63"/>
      <c r="F10" s="308"/>
      <c r="G10" s="389"/>
      <c r="H10" s="62"/>
      <c r="I10" s="62"/>
      <c r="J10" s="65"/>
      <c r="K10" s="63"/>
      <c r="L10" s="65"/>
      <c r="M10" s="65"/>
      <c r="S10" s="288"/>
      <c r="T10" s="289"/>
      <c r="U10" s="288"/>
      <c r="V10" s="290"/>
      <c r="W10" s="288"/>
      <c r="X10" s="290"/>
      <c r="Z10" s="128"/>
      <c r="AA10" s="70"/>
      <c r="AB10" s="71"/>
      <c r="AC10" s="77"/>
      <c r="AD10" s="70"/>
      <c r="AE10" s="71"/>
      <c r="AG10" s="203" t="s">
        <v>161</v>
      </c>
      <c r="AH10" s="204">
        <f>Z66</f>
        <v>32415.652173913044</v>
      </c>
      <c r="AI10" s="204">
        <f>G20</f>
        <v>75194.400000000009</v>
      </c>
      <c r="AJ10" s="205">
        <f>AI10/AH10</f>
        <v>2.3196941896024468</v>
      </c>
      <c r="AK10" s="25" t="s">
        <v>134</v>
      </c>
      <c r="AM10" s="26"/>
      <c r="BB10" s="24"/>
      <c r="BC10" s="24"/>
      <c r="BD10" s="24"/>
      <c r="BE10" s="24"/>
      <c r="BF10" s="24"/>
      <c r="BG10" s="24"/>
      <c r="BH10" s="24"/>
    </row>
    <row r="11" spans="1:60" ht="12" customHeight="1" thickBot="1">
      <c r="A11" s="26"/>
      <c r="B11" s="69" t="s">
        <v>179</v>
      </c>
      <c r="C11" s="70"/>
      <c r="D11" s="132">
        <v>0</v>
      </c>
      <c r="E11" s="69">
        <v>0</v>
      </c>
      <c r="F11" s="122">
        <v>0</v>
      </c>
      <c r="G11" s="390">
        <v>0</v>
      </c>
      <c r="H11" s="70">
        <v>0</v>
      </c>
      <c r="I11" s="70"/>
      <c r="J11" s="71">
        <v>0</v>
      </c>
      <c r="K11" s="69">
        <v>0</v>
      </c>
      <c r="L11" s="71">
        <v>0</v>
      </c>
      <c r="M11" s="71">
        <v>0</v>
      </c>
      <c r="S11" s="167" t="s">
        <v>0</v>
      </c>
      <c r="T11" s="15"/>
      <c r="U11" s="15"/>
      <c r="V11" s="15"/>
      <c r="W11" s="15"/>
      <c r="X11" s="16"/>
      <c r="Z11" s="157">
        <v>0</v>
      </c>
      <c r="AA11" s="119">
        <v>0</v>
      </c>
      <c r="AB11" s="154">
        <v>0</v>
      </c>
      <c r="AC11" s="252">
        <v>0</v>
      </c>
      <c r="AD11" s="147">
        <v>0</v>
      </c>
      <c r="AE11" s="253">
        <f>X13/50</f>
        <v>0</v>
      </c>
      <c r="AG11" s="203" t="s">
        <v>145</v>
      </c>
      <c r="AH11" s="204">
        <f>Z67</f>
        <v>35483.478260869568</v>
      </c>
      <c r="AI11" s="204">
        <f>G11+G20+G29</f>
        <v>145132.6</v>
      </c>
      <c r="AJ11" s="205">
        <f>AI11/AH11</f>
        <v>4.0901458118904079</v>
      </c>
      <c r="AK11" s="130" t="s">
        <v>137</v>
      </c>
      <c r="AM11" s="26"/>
      <c r="BB11" s="24"/>
      <c r="BC11" s="24"/>
      <c r="BD11" s="24"/>
      <c r="BE11" s="24"/>
      <c r="BF11" s="24"/>
      <c r="BG11" s="24"/>
      <c r="BH11" s="24"/>
    </row>
    <row r="12" spans="1:60" ht="12" customHeight="1">
      <c r="A12" s="26"/>
      <c r="B12" s="75"/>
      <c r="C12" s="70"/>
      <c r="D12" s="132"/>
      <c r="E12" s="69"/>
      <c r="F12" s="122"/>
      <c r="G12" s="391"/>
      <c r="H12" s="70"/>
      <c r="I12" s="70"/>
      <c r="J12" s="71"/>
      <c r="K12" s="69"/>
      <c r="L12" s="71"/>
      <c r="M12" s="71"/>
      <c r="R12" s="258" t="s">
        <v>197</v>
      </c>
      <c r="S12" s="277">
        <v>0</v>
      </c>
      <c r="T12" s="292">
        <v>0</v>
      </c>
      <c r="U12" s="291">
        <v>0</v>
      </c>
      <c r="V12" s="292">
        <v>0</v>
      </c>
      <c r="W12" s="291">
        <v>0</v>
      </c>
      <c r="X12" s="292">
        <v>0</v>
      </c>
      <c r="Z12" s="128"/>
      <c r="AA12" s="80"/>
      <c r="AB12" s="109"/>
      <c r="AC12" s="81"/>
      <c r="AD12" s="80"/>
      <c r="AE12" s="71"/>
      <c r="AG12" s="206" t="s">
        <v>146</v>
      </c>
      <c r="AH12" s="207">
        <f>Z68</f>
        <v>36766.956521739135</v>
      </c>
      <c r="AI12" s="207">
        <f>G11+G20+G29+G37</f>
        <v>209997.80000000002</v>
      </c>
      <c r="AJ12" s="208">
        <f>AI12/AH12</f>
        <v>5.7115905113286978</v>
      </c>
      <c r="BB12" s="24"/>
      <c r="BC12" s="24"/>
      <c r="BD12" s="24"/>
      <c r="BE12" s="24"/>
      <c r="BF12" s="24"/>
      <c r="BG12" s="24"/>
      <c r="BH12" s="24"/>
    </row>
    <row r="13" spans="1:60" ht="12" customHeight="1" thickBot="1">
      <c r="A13" s="26"/>
      <c r="B13" s="269" t="s">
        <v>180</v>
      </c>
      <c r="C13" s="265"/>
      <c r="D13" s="271"/>
      <c r="E13" s="269"/>
      <c r="F13" s="309">
        <v>0</v>
      </c>
      <c r="G13" s="392"/>
      <c r="H13" s="265"/>
      <c r="I13" s="265"/>
      <c r="J13" s="274">
        <v>0</v>
      </c>
      <c r="K13" s="269"/>
      <c r="L13" s="274">
        <v>0</v>
      </c>
      <c r="M13" s="84"/>
      <c r="R13" s="307" t="s">
        <v>198</v>
      </c>
      <c r="S13" s="282">
        <v>0</v>
      </c>
      <c r="T13" s="172">
        <f>S13</f>
        <v>0</v>
      </c>
      <c r="U13" s="282">
        <v>0</v>
      </c>
      <c r="V13" s="283">
        <f>U13</f>
        <v>0</v>
      </c>
      <c r="W13" s="282">
        <v>0</v>
      </c>
      <c r="X13" s="284">
        <v>0</v>
      </c>
      <c r="Z13" s="157">
        <f>T20/50</f>
        <v>148.84122222222223</v>
      </c>
      <c r="AA13" s="119">
        <f>U20/50</f>
        <v>148.84122222222223</v>
      </c>
      <c r="AB13" s="154">
        <f>X20/50</f>
        <v>3.4812222222222227</v>
      </c>
      <c r="AC13" s="252">
        <f>T21/50</f>
        <v>748.9188125536831</v>
      </c>
      <c r="AD13" s="147">
        <f>V21/50</f>
        <v>150.51662739074393</v>
      </c>
      <c r="AE13" s="253">
        <f>X21/50</f>
        <v>4.4643451646090737</v>
      </c>
      <c r="AG13" s="198"/>
      <c r="AH13" s="137"/>
      <c r="AI13" s="137"/>
      <c r="AJ13" s="199" t="s">
        <v>57</v>
      </c>
      <c r="BB13" s="24"/>
      <c r="BC13" s="24"/>
      <c r="BD13" s="24"/>
      <c r="BE13" s="24"/>
      <c r="BF13" s="24"/>
      <c r="BG13" s="24"/>
      <c r="BH13" s="24"/>
    </row>
    <row r="14" spans="1:60" ht="12" customHeight="1" thickBot="1">
      <c r="A14" s="26"/>
      <c r="D14" s="130"/>
      <c r="G14" s="387"/>
      <c r="H14" s="70"/>
      <c r="S14" s="294"/>
      <c r="T14" s="295"/>
      <c r="U14" s="294"/>
      <c r="V14" s="295"/>
      <c r="W14" s="294"/>
      <c r="X14" s="295"/>
      <c r="Z14" s="128"/>
      <c r="AA14" s="80"/>
      <c r="AB14" s="109"/>
      <c r="AC14" s="81"/>
      <c r="AD14" s="80"/>
      <c r="AE14" s="71"/>
      <c r="AG14" s="195" t="s">
        <v>221</v>
      </c>
      <c r="AH14" s="196"/>
      <c r="AI14" s="196"/>
      <c r="AJ14" s="197" t="s">
        <v>57</v>
      </c>
      <c r="BB14" s="24"/>
      <c r="BC14" s="24"/>
      <c r="BD14" s="24"/>
      <c r="BE14" s="24"/>
      <c r="BF14" s="24"/>
      <c r="BG14" s="24"/>
      <c r="BH14" s="24"/>
    </row>
    <row r="15" spans="1:60" ht="12" customHeight="1">
      <c r="A15" s="26"/>
      <c r="B15" s="262" t="s">
        <v>4</v>
      </c>
      <c r="C15" s="116"/>
      <c r="D15" s="266"/>
      <c r="E15" s="68"/>
      <c r="F15" s="268"/>
      <c r="G15" s="389"/>
      <c r="H15" s="116"/>
      <c r="I15" s="116"/>
      <c r="J15" s="67"/>
      <c r="K15" s="68"/>
      <c r="L15" s="67"/>
      <c r="M15" s="263"/>
      <c r="S15" s="296"/>
      <c r="T15" s="297"/>
      <c r="U15" s="296"/>
      <c r="V15" s="297"/>
      <c r="W15" s="296"/>
      <c r="X15" s="297"/>
      <c r="Z15" s="157">
        <f>T29/50</f>
        <v>285.28184185185188</v>
      </c>
      <c r="AA15" s="119">
        <f>V29/50</f>
        <v>274.52284185185187</v>
      </c>
      <c r="AB15" s="154">
        <f>X29/50</f>
        <v>6.719101851851863</v>
      </c>
      <c r="AC15" s="254">
        <f>T30/50</f>
        <v>3298.0792369379938</v>
      </c>
      <c r="AD15" s="147">
        <f>V30/50</f>
        <v>277.75653888462284</v>
      </c>
      <c r="AE15" s="253">
        <f>X30/50</f>
        <v>8.6166259859396934</v>
      </c>
      <c r="AG15" s="209"/>
      <c r="AH15" s="210"/>
      <c r="AI15" s="210"/>
      <c r="AJ15" s="211"/>
      <c r="AK15" s="26"/>
      <c r="AM15" s="26"/>
      <c r="BB15" s="24"/>
      <c r="BC15" s="24"/>
      <c r="BD15" s="24"/>
      <c r="BE15" s="24"/>
      <c r="BF15" s="24"/>
      <c r="BG15" s="24"/>
      <c r="BH15" s="24"/>
    </row>
    <row r="16" spans="1:60" ht="12" customHeight="1">
      <c r="A16" s="26"/>
      <c r="B16" s="94" t="s">
        <v>22</v>
      </c>
      <c r="C16" s="74" t="s">
        <v>20</v>
      </c>
      <c r="D16" s="131">
        <v>3134</v>
      </c>
      <c r="E16" s="94">
        <v>2</v>
      </c>
      <c r="F16" s="123">
        <f>E16*D16</f>
        <v>6268</v>
      </c>
      <c r="G16" s="391">
        <f>H16*D16</f>
        <v>67694.400000000009</v>
      </c>
      <c r="H16" s="74">
        <v>21.6</v>
      </c>
      <c r="I16" s="74">
        <f>H16/I45</f>
        <v>0.05</v>
      </c>
      <c r="J16" s="154">
        <f>I16*D16</f>
        <v>156.70000000000002</v>
      </c>
      <c r="K16" s="94"/>
      <c r="L16" s="78">
        <v>0</v>
      </c>
      <c r="M16" s="180">
        <f>L16+J16+F16</f>
        <v>6424.7</v>
      </c>
      <c r="S16" s="278"/>
      <c r="T16" s="287"/>
      <c r="U16" s="278"/>
      <c r="V16" s="287"/>
      <c r="W16" s="278"/>
      <c r="X16" s="287"/>
      <c r="Z16" s="82"/>
      <c r="AA16" s="80"/>
      <c r="AB16" s="109"/>
      <c r="AC16" s="82"/>
      <c r="AD16" s="80"/>
      <c r="AE16" s="71"/>
      <c r="AG16" s="137"/>
      <c r="AH16" s="137"/>
      <c r="AI16" s="137"/>
      <c r="AJ16" s="137"/>
      <c r="BB16" s="24"/>
      <c r="BC16" s="24"/>
      <c r="BD16" s="24"/>
      <c r="BE16" s="24"/>
      <c r="BF16" s="24"/>
      <c r="BG16" s="24"/>
      <c r="BH16" s="24"/>
    </row>
    <row r="17" spans="1:85" ht="12" customHeight="1" thickBot="1">
      <c r="A17" s="26"/>
      <c r="B17" s="94"/>
      <c r="C17" s="74" t="s">
        <v>21</v>
      </c>
      <c r="D17" s="131"/>
      <c r="E17" s="94"/>
      <c r="F17" s="123"/>
      <c r="G17" s="391"/>
      <c r="H17" s="74"/>
      <c r="I17" s="74"/>
      <c r="J17" s="154"/>
      <c r="K17" s="94"/>
      <c r="L17" s="78"/>
      <c r="M17" s="180"/>
      <c r="S17" s="293"/>
      <c r="T17" s="287"/>
      <c r="U17" s="278"/>
      <c r="V17" s="287"/>
      <c r="W17" s="278"/>
      <c r="X17" s="287"/>
      <c r="Z17" s="158">
        <f>T37/50</f>
        <v>426.08486037037039</v>
      </c>
      <c r="AA17" s="156">
        <f>V37/50</f>
        <v>415.32586037037038</v>
      </c>
      <c r="AB17" s="155">
        <f>X37/50</f>
        <v>9.7221203703703925</v>
      </c>
      <c r="AC17" s="255">
        <f>T38/50</f>
        <v>3956.5292200226004</v>
      </c>
      <c r="AD17" s="148">
        <f>V38/50</f>
        <v>420.00481783925358</v>
      </c>
      <c r="AE17" s="256">
        <f>X38/50</f>
        <v>12.467719178669485</v>
      </c>
      <c r="AG17" s="137" t="s">
        <v>326</v>
      </c>
      <c r="AH17" s="137"/>
      <c r="AI17" s="137"/>
      <c r="AJ17" s="137"/>
      <c r="BB17" s="24"/>
      <c r="BC17" s="24"/>
      <c r="BD17" s="24"/>
      <c r="BE17" s="24"/>
      <c r="BF17" s="24"/>
      <c r="BG17" s="24"/>
      <c r="BH17" s="24"/>
    </row>
    <row r="18" spans="1:85" ht="12" customHeight="1" thickBot="1">
      <c r="A18" s="26"/>
      <c r="B18" s="94" t="s">
        <v>23</v>
      </c>
      <c r="C18" s="74"/>
      <c r="D18" s="131">
        <v>500</v>
      </c>
      <c r="E18" s="94">
        <v>2</v>
      </c>
      <c r="F18" s="123">
        <f>E18*D18</f>
        <v>1000</v>
      </c>
      <c r="G18" s="391">
        <f>H18*D18</f>
        <v>7500</v>
      </c>
      <c r="H18" s="74">
        <v>15</v>
      </c>
      <c r="I18" s="74">
        <f>H18/I45</f>
        <v>3.4722222222222224E-2</v>
      </c>
      <c r="J18" s="154">
        <f>I18*D18</f>
        <v>17.361111111111111</v>
      </c>
      <c r="K18" s="94"/>
      <c r="L18" s="78">
        <v>0</v>
      </c>
      <c r="M18" s="180">
        <f>L18+J18+F18</f>
        <v>1017.3611111111111</v>
      </c>
      <c r="S18" s="298"/>
      <c r="T18" s="290"/>
      <c r="U18" s="288"/>
      <c r="V18" s="290"/>
      <c r="W18" s="288"/>
      <c r="X18" s="290"/>
      <c r="AG18" s="195" t="s">
        <v>222</v>
      </c>
      <c r="AH18" s="196"/>
      <c r="AI18" s="196"/>
      <c r="AJ18" s="197"/>
      <c r="BB18" s="24"/>
      <c r="BC18" s="24"/>
      <c r="BD18" s="24"/>
      <c r="BE18" s="24"/>
      <c r="BF18" s="24"/>
      <c r="BG18" s="24"/>
      <c r="BH18" s="24"/>
    </row>
    <row r="19" spans="1:85" ht="12" customHeight="1" thickBot="1">
      <c r="A19" s="26"/>
      <c r="B19" s="94"/>
      <c r="C19" s="74"/>
      <c r="D19" s="131"/>
      <c r="E19" s="94"/>
      <c r="F19" s="123"/>
      <c r="G19" s="391"/>
      <c r="H19" s="74"/>
      <c r="I19" s="74"/>
      <c r="J19" s="154"/>
      <c r="K19" s="94"/>
      <c r="L19" s="78"/>
      <c r="M19" s="180"/>
      <c r="S19" s="279" t="s">
        <v>4</v>
      </c>
      <c r="T19" s="280" t="s">
        <v>199</v>
      </c>
      <c r="U19" s="301"/>
      <c r="V19" s="301"/>
      <c r="W19" s="281"/>
      <c r="X19" s="280"/>
      <c r="AG19" s="198"/>
      <c r="AH19" s="137" t="s">
        <v>133</v>
      </c>
      <c r="AI19" s="137" t="s">
        <v>189</v>
      </c>
      <c r="AJ19" s="199"/>
      <c r="BB19" s="24"/>
      <c r="BC19" s="24"/>
      <c r="BD19" s="24"/>
      <c r="BE19" s="24"/>
      <c r="BF19" s="24"/>
      <c r="BG19" s="24"/>
      <c r="BH19" s="24"/>
    </row>
    <row r="20" spans="1:85" ht="12" customHeight="1" thickBot="1">
      <c r="A20" s="26"/>
      <c r="B20" s="269" t="s">
        <v>196</v>
      </c>
      <c r="C20" s="265"/>
      <c r="D20" s="86">
        <f>SUM(D16:D18)</f>
        <v>3634</v>
      </c>
      <c r="E20" s="269"/>
      <c r="F20" s="270">
        <f>SUM(F15:F19)</f>
        <v>7268</v>
      </c>
      <c r="G20" s="393">
        <f>SUM(G15:G18)</f>
        <v>75194.400000000009</v>
      </c>
      <c r="H20" s="265"/>
      <c r="I20" s="265"/>
      <c r="J20" s="272">
        <f>SUM(J16:J19)</f>
        <v>174.06111111111113</v>
      </c>
      <c r="K20" s="269"/>
      <c r="L20" s="273">
        <f>SUM(L16:L19)</f>
        <v>0</v>
      </c>
      <c r="M20" s="310">
        <f>SUM(M16:M19)</f>
        <v>7442.0611111111111</v>
      </c>
      <c r="R20" s="258" t="s">
        <v>197</v>
      </c>
      <c r="S20" s="277">
        <f>M16+M17+M18</f>
        <v>7442.0611111111111</v>
      </c>
      <c r="T20" s="303">
        <f>S12+S20</f>
        <v>7442.0611111111111</v>
      </c>
      <c r="U20" s="300">
        <f>S20-L16-L17-L18</f>
        <v>7442.0611111111111</v>
      </c>
      <c r="V20" s="292">
        <f>U12+U20</f>
        <v>7442.0611111111111</v>
      </c>
      <c r="W20" s="275">
        <f>U20-F16-F17-F18</f>
        <v>174.06111111111113</v>
      </c>
      <c r="X20" s="303">
        <f>X12+W20</f>
        <v>174.06111111111113</v>
      </c>
      <c r="AG20" s="198" t="s">
        <v>0</v>
      </c>
      <c r="AH20" s="137">
        <f>Y65</f>
        <v>51041.739130434784</v>
      </c>
      <c r="AI20" s="137">
        <f>AI9</f>
        <v>0</v>
      </c>
      <c r="AJ20" s="199"/>
      <c r="AO20" s="25"/>
      <c r="AP20" s="25"/>
      <c r="AQ20" s="25"/>
      <c r="AR20" s="25"/>
      <c r="AS20" s="25"/>
      <c r="AT20" s="25"/>
      <c r="BB20" s="24"/>
      <c r="BC20" s="24"/>
      <c r="BD20" s="24"/>
      <c r="BE20" s="24"/>
      <c r="BF20" s="24"/>
      <c r="BG20" s="24"/>
      <c r="BH20" s="24"/>
    </row>
    <row r="21" spans="1:85" ht="12" customHeight="1" thickBot="1">
      <c r="A21" s="26"/>
      <c r="B21" s="181"/>
      <c r="C21" s="83"/>
      <c r="D21" s="328"/>
      <c r="E21" s="83"/>
      <c r="F21" s="179"/>
      <c r="G21" s="387"/>
      <c r="H21" s="70"/>
      <c r="I21" s="70"/>
      <c r="J21" s="299"/>
      <c r="K21" s="87"/>
      <c r="L21" s="177">
        <f>L20*T93</f>
        <v>0</v>
      </c>
      <c r="M21" s="146"/>
      <c r="R21" s="307" t="s">
        <v>198</v>
      </c>
      <c r="S21" s="282">
        <f>S20+J20*T93+L20*T93</f>
        <v>37445.940627684155</v>
      </c>
      <c r="T21" s="172">
        <f>S13+S21</f>
        <v>37445.940627684155</v>
      </c>
      <c r="U21" s="302">
        <f>U20+J20*U93</f>
        <v>7525.8313695371971</v>
      </c>
      <c r="V21" s="304">
        <f>U13+U21</f>
        <v>7525.8313695371971</v>
      </c>
      <c r="W21" s="282">
        <f>W20+J20*V93</f>
        <v>223.21725823045369</v>
      </c>
      <c r="X21" s="284">
        <f>X13+W21</f>
        <v>223.21725823045369</v>
      </c>
      <c r="AG21" s="198" t="s">
        <v>4</v>
      </c>
      <c r="AH21" s="137">
        <f>Y66</f>
        <v>18626.08695652174</v>
      </c>
      <c r="AI21" s="137">
        <f>AI10</f>
        <v>75194.400000000009</v>
      </c>
      <c r="AJ21" s="199"/>
      <c r="AO21" s="25"/>
      <c r="AP21" s="25"/>
      <c r="AQ21" s="25"/>
      <c r="AR21" s="25"/>
      <c r="AS21" s="25"/>
      <c r="AT21" s="25"/>
      <c r="BB21" s="24"/>
      <c r="BC21" s="24"/>
      <c r="BD21" s="24"/>
      <c r="BE21" s="24"/>
      <c r="BF21" s="24"/>
      <c r="BG21" s="24"/>
      <c r="BH21" s="24"/>
    </row>
    <row r="22" spans="1:85" ht="12" customHeight="1">
      <c r="A22" s="26"/>
      <c r="B22" s="262" t="s">
        <v>1</v>
      </c>
      <c r="C22" s="116"/>
      <c r="D22" s="266"/>
      <c r="E22" s="68"/>
      <c r="F22" s="268"/>
      <c r="G22" s="389"/>
      <c r="H22" s="116"/>
      <c r="I22" s="116"/>
      <c r="J22" s="263"/>
      <c r="K22" s="116"/>
      <c r="L22" s="67"/>
      <c r="M22" s="263"/>
      <c r="S22" s="23"/>
      <c r="T22" s="16"/>
      <c r="U22" s="23"/>
      <c r="V22" s="16"/>
      <c r="W22" s="23"/>
      <c r="X22" s="16"/>
      <c r="AG22" s="198" t="s">
        <v>1</v>
      </c>
      <c r="AH22" s="137">
        <f>Y67</f>
        <v>15558.260869565218</v>
      </c>
      <c r="AI22" s="137">
        <f>AI11</f>
        <v>145132.6</v>
      </c>
      <c r="AJ22" s="199"/>
      <c r="AO22" s="25"/>
      <c r="AP22" s="25"/>
      <c r="AQ22" s="25"/>
      <c r="AR22" s="25"/>
      <c r="AS22" s="25"/>
      <c r="AT22" s="25"/>
      <c r="BB22" s="24"/>
      <c r="BC22" s="24"/>
      <c r="BD22" s="24"/>
      <c r="BE22" s="24"/>
      <c r="BF22" s="24"/>
      <c r="BG22" s="24"/>
      <c r="BH22" s="24"/>
    </row>
    <row r="23" spans="1:85" ht="12" customHeight="1">
      <c r="A23" s="26"/>
      <c r="B23" s="77" t="s">
        <v>27</v>
      </c>
      <c r="C23" s="76"/>
      <c r="D23" s="133">
        <v>3057</v>
      </c>
      <c r="E23" s="77">
        <v>2</v>
      </c>
      <c r="F23" s="123">
        <f>E23*D23</f>
        <v>6114</v>
      </c>
      <c r="G23" s="391">
        <f>H23*D23</f>
        <v>66031.199999999997</v>
      </c>
      <c r="H23" s="76">
        <v>21.6</v>
      </c>
      <c r="I23" s="76">
        <f>H23/I45</f>
        <v>0.05</v>
      </c>
      <c r="J23" s="154">
        <f>I23*D23</f>
        <v>152.85</v>
      </c>
      <c r="K23" s="76"/>
      <c r="L23" s="78">
        <v>0</v>
      </c>
      <c r="M23" s="180">
        <f>L23+J23+F23</f>
        <v>6266.85</v>
      </c>
      <c r="S23" s="305"/>
      <c r="T23" s="306"/>
      <c r="U23" s="305"/>
      <c r="V23" s="306"/>
      <c r="W23" s="305"/>
      <c r="X23" s="306"/>
      <c r="AG23" s="209" t="s">
        <v>2</v>
      </c>
      <c r="AH23" s="210">
        <f>Y68</f>
        <v>14274.782608695652</v>
      </c>
      <c r="AI23" s="210">
        <f>AI12</f>
        <v>209997.80000000002</v>
      </c>
      <c r="AJ23" s="211"/>
      <c r="AO23" s="25"/>
      <c r="AP23" s="25"/>
      <c r="AQ23" s="25"/>
      <c r="AR23" s="25"/>
      <c r="AS23" s="25"/>
      <c r="AT23" s="25"/>
      <c r="BB23" s="24"/>
      <c r="BC23" s="24"/>
      <c r="BD23" s="24"/>
      <c r="BE23" s="24"/>
      <c r="BF23" s="24"/>
      <c r="BG23" s="24"/>
      <c r="BH23" s="24"/>
    </row>
    <row r="24" spans="1:85" ht="12" customHeight="1">
      <c r="A24" s="26"/>
      <c r="B24" s="77" t="s">
        <v>24</v>
      </c>
      <c r="C24" s="76"/>
      <c r="D24" s="133">
        <v>1015</v>
      </c>
      <c r="E24" s="77">
        <v>0</v>
      </c>
      <c r="F24" s="123">
        <f>E24*D24</f>
        <v>0</v>
      </c>
      <c r="G24" s="391">
        <f>H24*D24</f>
        <v>1827</v>
      </c>
      <c r="H24" s="76">
        <v>1.8</v>
      </c>
      <c r="I24" s="76">
        <f>H24/I45</f>
        <v>4.1666666666666666E-3</v>
      </c>
      <c r="J24" s="154">
        <f>I24*D24</f>
        <v>4.229166666666667</v>
      </c>
      <c r="K24" s="117">
        <v>0.53</v>
      </c>
      <c r="L24" s="78">
        <f>K24*D24</f>
        <v>537.95000000000005</v>
      </c>
      <c r="M24" s="180">
        <f>L24+J24+F24</f>
        <v>542.17916666666667</v>
      </c>
      <c r="S24" s="293"/>
      <c r="T24" s="287"/>
      <c r="U24" s="278"/>
      <c r="V24" s="287"/>
      <c r="W24" s="278"/>
      <c r="X24" s="287"/>
      <c r="AG24" s="198"/>
      <c r="AH24" s="137"/>
      <c r="AI24" s="137"/>
      <c r="AJ24" s="199"/>
      <c r="AK24" s="25"/>
      <c r="AM24" s="25"/>
      <c r="AN24" s="25"/>
      <c r="AP24" s="25"/>
      <c r="AQ24" s="25"/>
      <c r="AR24" s="25"/>
      <c r="AS24" s="25"/>
      <c r="AT24" s="25"/>
      <c r="BB24" s="24"/>
      <c r="BC24" s="24"/>
      <c r="BD24" s="24"/>
      <c r="BE24" s="24"/>
      <c r="BF24" s="24"/>
      <c r="BG24" s="24"/>
      <c r="BH24" s="24"/>
    </row>
    <row r="25" spans="1:85" ht="12" customHeight="1">
      <c r="A25" s="26"/>
      <c r="B25" s="77" t="s">
        <v>25</v>
      </c>
      <c r="C25" s="76"/>
      <c r="D25" s="133">
        <v>170</v>
      </c>
      <c r="E25" s="77">
        <v>1.1000000000000001E-3</v>
      </c>
      <c r="F25" s="123">
        <f>E25*D25</f>
        <v>0.187</v>
      </c>
      <c r="G25" s="391">
        <f>H25*D25</f>
        <v>2040</v>
      </c>
      <c r="H25" s="76">
        <v>12</v>
      </c>
      <c r="I25" s="76">
        <f>H25/I45</f>
        <v>2.7777777777777776E-2</v>
      </c>
      <c r="J25" s="154">
        <f>I25*D25</f>
        <v>4.7222222222222223</v>
      </c>
      <c r="K25" s="76"/>
      <c r="L25" s="78">
        <v>0</v>
      </c>
      <c r="M25" s="180">
        <f>L25+J25+F25</f>
        <v>4.9092222222222226</v>
      </c>
      <c r="S25" s="293"/>
      <c r="T25" s="287"/>
      <c r="U25" s="278"/>
      <c r="V25" s="287"/>
      <c r="W25" s="278"/>
      <c r="X25" s="287"/>
      <c r="AG25" s="399" t="s">
        <v>327</v>
      </c>
      <c r="AK25" s="25"/>
      <c r="AM25" s="25"/>
      <c r="AN25" s="25"/>
      <c r="AO25" s="25"/>
      <c r="AP25" s="25"/>
      <c r="AQ25" s="25"/>
      <c r="AR25" s="25"/>
      <c r="AS25" s="25"/>
      <c r="AT25" s="25"/>
      <c r="BB25" s="24"/>
      <c r="BC25" s="24"/>
      <c r="BD25" s="24"/>
      <c r="BE25" s="24"/>
      <c r="BF25" s="24"/>
      <c r="BG25" s="24"/>
      <c r="BH25" s="24"/>
    </row>
    <row r="26" spans="1:85" ht="12" customHeight="1">
      <c r="A26" s="26"/>
      <c r="B26" s="77" t="s">
        <v>26</v>
      </c>
      <c r="C26" s="76"/>
      <c r="D26" s="133">
        <v>4</v>
      </c>
      <c r="E26" s="77">
        <v>2</v>
      </c>
      <c r="F26" s="123">
        <f>E26*D26</f>
        <v>8</v>
      </c>
      <c r="G26" s="391">
        <f>H26*D26</f>
        <v>40</v>
      </c>
      <c r="H26" s="76">
        <v>10</v>
      </c>
      <c r="I26" s="76">
        <f>H26/I45</f>
        <v>2.3148148148148147E-2</v>
      </c>
      <c r="J26" s="154">
        <f>I26*D26</f>
        <v>9.2592592592592587E-2</v>
      </c>
      <c r="K26" s="76"/>
      <c r="L26" s="78">
        <v>0</v>
      </c>
      <c r="M26" s="180">
        <f>L26+J26+F26</f>
        <v>8.0925925925925934</v>
      </c>
      <c r="S26" s="293"/>
      <c r="T26" s="287"/>
      <c r="U26" s="278"/>
      <c r="V26" s="287"/>
      <c r="W26" s="278"/>
      <c r="X26" s="287"/>
      <c r="AG26" s="212" t="s">
        <v>224</v>
      </c>
      <c r="AH26" s="213" t="s">
        <v>162</v>
      </c>
      <c r="AI26" s="214" t="s">
        <v>163</v>
      </c>
      <c r="AJ26" s="215"/>
      <c r="AK26" s="25"/>
      <c r="AM26" s="25"/>
      <c r="AN26" s="25"/>
      <c r="AO26" s="25"/>
      <c r="AP26" s="25"/>
      <c r="AQ26" s="25"/>
      <c r="AR26" s="25"/>
      <c r="AS26" s="25"/>
      <c r="BB26" s="24"/>
      <c r="BC26" s="24"/>
      <c r="BD26" s="24"/>
      <c r="BE26" s="24"/>
      <c r="BF26" s="24"/>
      <c r="BG26" s="24"/>
      <c r="BH26" s="24"/>
    </row>
    <row r="27" spans="1:85" ht="12" customHeight="1" thickBot="1">
      <c r="A27" s="26"/>
      <c r="B27" s="77"/>
      <c r="C27" s="76"/>
      <c r="D27" s="133"/>
      <c r="E27" s="77"/>
      <c r="F27" s="123"/>
      <c r="G27" s="391"/>
      <c r="H27" s="76"/>
      <c r="I27" s="76"/>
      <c r="J27" s="154"/>
      <c r="K27" s="76"/>
      <c r="L27" s="78"/>
      <c r="M27" s="180"/>
      <c r="S27" s="298"/>
      <c r="T27" s="290"/>
      <c r="U27" s="288"/>
      <c r="V27" s="290"/>
      <c r="W27" s="288"/>
      <c r="X27" s="290"/>
      <c r="AG27" s="203" t="s">
        <v>143</v>
      </c>
      <c r="AH27" s="216">
        <f>AH20</f>
        <v>51041.739130434784</v>
      </c>
      <c r="AI27" s="216">
        <f>AI20/50</f>
        <v>0</v>
      </c>
      <c r="AJ27" s="163">
        <f>AI27+AH27</f>
        <v>51041.739130434784</v>
      </c>
      <c r="AK27" s="25"/>
      <c r="AM27" s="25"/>
      <c r="AN27" s="25"/>
      <c r="AO27" s="25"/>
      <c r="AP27" s="25"/>
      <c r="AQ27" s="25"/>
      <c r="AR27" s="25"/>
      <c r="AS27" s="25"/>
      <c r="AT27" s="25"/>
      <c r="BB27" s="24"/>
      <c r="BC27" s="24"/>
      <c r="BD27" s="24"/>
      <c r="BE27" s="24"/>
      <c r="BF27" s="24"/>
      <c r="BG27" s="24"/>
      <c r="BH27" s="24"/>
    </row>
    <row r="28" spans="1:85" ht="12" customHeight="1" thickBot="1">
      <c r="A28" s="26"/>
      <c r="B28" s="77"/>
      <c r="C28" s="76"/>
      <c r="D28" s="132"/>
      <c r="E28" s="77"/>
      <c r="F28" s="123"/>
      <c r="G28" s="391"/>
      <c r="H28" s="76"/>
      <c r="I28" s="76"/>
      <c r="J28" s="154"/>
      <c r="K28" s="76"/>
      <c r="L28" s="78"/>
      <c r="M28" s="180"/>
      <c r="S28" s="285" t="s">
        <v>1</v>
      </c>
      <c r="T28" s="280" t="s">
        <v>199</v>
      </c>
      <c r="U28" s="301"/>
      <c r="V28" s="301"/>
      <c r="W28" s="281"/>
      <c r="X28" s="280"/>
      <c r="AG28" s="203" t="s">
        <v>144</v>
      </c>
      <c r="AH28" s="216">
        <f>AH21</f>
        <v>18626.08695652174</v>
      </c>
      <c r="AI28" s="216">
        <f>AI21/50</f>
        <v>1503.8880000000001</v>
      </c>
      <c r="AJ28" s="163">
        <f t="shared" ref="AJ28:AJ30" si="0">AI28+AH28</f>
        <v>20129.974956521739</v>
      </c>
      <c r="AK28" s="25"/>
      <c r="AM28" s="25"/>
      <c r="AN28" s="25"/>
      <c r="AO28" s="25"/>
      <c r="AP28" s="25"/>
      <c r="AQ28" s="25"/>
      <c r="AR28" s="25"/>
      <c r="AS28" s="25"/>
      <c r="AT28" s="25"/>
      <c r="BB28" s="24"/>
      <c r="BC28" s="24"/>
      <c r="BD28" s="24"/>
      <c r="BE28" s="24"/>
      <c r="BF28" s="24"/>
      <c r="BG28" s="24"/>
      <c r="BH28" s="24"/>
      <c r="CF28" s="26"/>
      <c r="CG28" s="24"/>
    </row>
    <row r="29" spans="1:85" ht="12" customHeight="1" thickBot="1">
      <c r="A29" s="26"/>
      <c r="B29" s="269" t="s">
        <v>196</v>
      </c>
      <c r="C29" s="265"/>
      <c r="D29" s="86">
        <f>SUM(D23:D26)</f>
        <v>4246</v>
      </c>
      <c r="E29" s="269"/>
      <c r="F29" s="270">
        <f>SUM(F23:F28)</f>
        <v>6122.1869999999999</v>
      </c>
      <c r="G29" s="393">
        <f>SUM(G23:G28)</f>
        <v>69938.2</v>
      </c>
      <c r="H29" s="265"/>
      <c r="I29" s="327"/>
      <c r="J29" s="272">
        <f>SUM(J23:J28)</f>
        <v>161.89398148148146</v>
      </c>
      <c r="K29" s="265"/>
      <c r="L29" s="273">
        <f>SUM(L23:L28)</f>
        <v>537.95000000000005</v>
      </c>
      <c r="M29" s="310">
        <f>SUM(M23:M28)</f>
        <v>6822.0309814814818</v>
      </c>
      <c r="R29" s="258" t="s">
        <v>197</v>
      </c>
      <c r="S29" s="277">
        <f>M23+M24+M25+M26</f>
        <v>6822.0309814814818</v>
      </c>
      <c r="T29" s="303">
        <f>S12+S20+S29</f>
        <v>14264.092092592593</v>
      </c>
      <c r="U29" s="300">
        <f>S29-L23-L24-L25-L26</f>
        <v>6284.080981481482</v>
      </c>
      <c r="V29" s="292">
        <f>U12+U20+U29</f>
        <v>13726.142092592592</v>
      </c>
      <c r="W29" s="275">
        <f>U29-F23-F24-F25-F26</f>
        <v>161.893981481482</v>
      </c>
      <c r="X29" s="303">
        <f>X20+W29</f>
        <v>335.95509259259313</v>
      </c>
      <c r="AG29" s="203" t="s">
        <v>145</v>
      </c>
      <c r="AH29" s="216">
        <f>AH22</f>
        <v>15558.260869565218</v>
      </c>
      <c r="AI29" s="216">
        <f>AI22/50</f>
        <v>2902.652</v>
      </c>
      <c r="AJ29" s="163">
        <f t="shared" si="0"/>
        <v>18460.912869565218</v>
      </c>
      <c r="AK29" s="25"/>
      <c r="AM29" s="25"/>
      <c r="AN29" s="25"/>
      <c r="AP29" s="25"/>
      <c r="AQ29" s="25"/>
      <c r="AR29" s="25"/>
      <c r="AS29" s="25"/>
      <c r="AT29" s="25"/>
      <c r="BB29" s="24"/>
      <c r="BC29" s="24"/>
      <c r="BD29" s="24"/>
      <c r="BE29" s="24"/>
      <c r="BF29" s="24"/>
      <c r="BG29" s="24"/>
      <c r="BH29" s="24"/>
      <c r="CF29" s="26"/>
      <c r="CG29" s="24"/>
    </row>
    <row r="30" spans="1:85" ht="12" customHeight="1" thickBot="1">
      <c r="A30" s="26"/>
      <c r="B30" s="94"/>
      <c r="C30" s="70"/>
      <c r="D30" s="132"/>
      <c r="E30" s="83"/>
      <c r="F30" s="179"/>
      <c r="G30" s="387"/>
      <c r="H30" s="70"/>
      <c r="I30" s="70"/>
      <c r="J30" s="299"/>
      <c r="K30" s="87"/>
      <c r="L30" s="177"/>
      <c r="M30" s="145"/>
      <c r="R30" s="307" t="s">
        <v>198</v>
      </c>
      <c r="S30" s="282">
        <f>S29+J29*T93+L29*T93</f>
        <v>127458.02121921553</v>
      </c>
      <c r="T30" s="172">
        <f>T21+S30</f>
        <v>164903.96184689968</v>
      </c>
      <c r="U30" s="302">
        <f>U29+J29*U93</f>
        <v>6361.9955746939459</v>
      </c>
      <c r="V30" s="304">
        <f>V21+U30</f>
        <v>13887.826944231143</v>
      </c>
      <c r="W30" s="282">
        <f>W29+J29*V93</f>
        <v>207.61404106653092</v>
      </c>
      <c r="X30" s="284">
        <f>X21+W30</f>
        <v>430.83129929698464</v>
      </c>
      <c r="AG30" s="206" t="s">
        <v>146</v>
      </c>
      <c r="AH30" s="217">
        <f>AH23</f>
        <v>14274.782608695652</v>
      </c>
      <c r="AI30" s="217">
        <f>AI23/50</f>
        <v>4199.9560000000001</v>
      </c>
      <c r="AJ30" s="164">
        <f t="shared" si="0"/>
        <v>18474.738608695654</v>
      </c>
      <c r="AM30" s="25"/>
      <c r="AN30" s="25"/>
      <c r="AO30" s="25"/>
      <c r="AP30" s="25"/>
      <c r="AQ30" s="25"/>
      <c r="AR30" s="25"/>
      <c r="AS30" s="25"/>
      <c r="AT30" s="25"/>
      <c r="BB30" s="24"/>
      <c r="BC30" s="24"/>
      <c r="BD30" s="24"/>
      <c r="BE30" s="24"/>
      <c r="BF30" s="24"/>
      <c r="BG30" s="24"/>
      <c r="BH30" s="24"/>
      <c r="CF30" s="26"/>
      <c r="CG30" s="24"/>
    </row>
    <row r="31" spans="1:85" ht="12" customHeight="1">
      <c r="A31" s="26"/>
      <c r="B31" s="262" t="s">
        <v>2</v>
      </c>
      <c r="C31" s="116"/>
      <c r="D31" s="266"/>
      <c r="E31" s="68"/>
      <c r="F31" s="268"/>
      <c r="G31" s="389"/>
      <c r="H31" s="116"/>
      <c r="I31" s="116"/>
      <c r="J31" s="263"/>
      <c r="K31" s="116"/>
      <c r="L31" s="67"/>
      <c r="M31" s="263"/>
      <c r="S31" s="23"/>
      <c r="T31" s="16"/>
      <c r="W31" s="23"/>
      <c r="X31" s="16"/>
      <c r="AG31" s="218"/>
      <c r="AH31" s="218"/>
      <c r="AI31" s="218"/>
      <c r="AJ31" s="218"/>
      <c r="AM31" s="25"/>
      <c r="AN31" s="25"/>
      <c r="AP31" s="25"/>
      <c r="AQ31" s="25"/>
      <c r="AR31" s="25"/>
      <c r="AS31" s="25"/>
      <c r="AT31" s="25"/>
      <c r="BB31" s="24"/>
      <c r="BC31" s="24"/>
      <c r="BD31" s="24"/>
      <c r="BE31" s="24"/>
      <c r="BF31" s="24"/>
      <c r="BG31" s="24"/>
      <c r="BH31" s="24"/>
      <c r="CF31" s="26"/>
      <c r="CG31" s="24"/>
    </row>
    <row r="32" spans="1:85" ht="12" customHeight="1">
      <c r="A32" s="26"/>
      <c r="B32" s="77" t="s">
        <v>27</v>
      </c>
      <c r="C32" s="76"/>
      <c r="D32" s="133">
        <v>2622</v>
      </c>
      <c r="E32" s="77">
        <v>2</v>
      </c>
      <c r="F32" s="123">
        <f>E32*D32</f>
        <v>5244</v>
      </c>
      <c r="G32" s="391">
        <f>H32*D32</f>
        <v>56635.200000000004</v>
      </c>
      <c r="H32" s="76">
        <v>21.6</v>
      </c>
      <c r="I32" s="76">
        <f>H32/I45</f>
        <v>0.05</v>
      </c>
      <c r="J32" s="154">
        <f>I32*D32</f>
        <v>131.1</v>
      </c>
      <c r="K32" s="76"/>
      <c r="L32" s="78">
        <v>0</v>
      </c>
      <c r="M32" s="180">
        <f>L32+J32+F32</f>
        <v>5375.1</v>
      </c>
      <c r="S32" s="305"/>
      <c r="T32" s="306"/>
      <c r="U32" s="286"/>
      <c r="V32" s="286"/>
      <c r="W32" s="305"/>
      <c r="X32" s="306"/>
      <c r="AG32" s="219" t="s">
        <v>223</v>
      </c>
      <c r="AH32" s="220" t="s">
        <v>328</v>
      </c>
      <c r="AI32" s="220"/>
      <c r="AJ32" s="221"/>
      <c r="AM32" s="25"/>
      <c r="AN32" s="25"/>
      <c r="AO32" s="25"/>
      <c r="AP32" s="25"/>
      <c r="AQ32" s="25"/>
      <c r="AR32" s="25"/>
      <c r="AS32" s="25"/>
      <c r="AT32" s="25"/>
      <c r="BB32" s="24"/>
      <c r="BC32" s="24"/>
      <c r="BD32" s="24"/>
      <c r="BE32" s="24"/>
      <c r="BF32" s="24"/>
      <c r="BG32" s="24"/>
      <c r="BH32" s="24"/>
      <c r="CF32" s="26"/>
      <c r="CG32" s="24"/>
    </row>
    <row r="33" spans="1:85" ht="12" customHeight="1">
      <c r="A33" s="26"/>
      <c r="B33" s="77" t="s">
        <v>26</v>
      </c>
      <c r="C33" s="76"/>
      <c r="D33" s="133">
        <v>296</v>
      </c>
      <c r="E33" s="77">
        <v>2</v>
      </c>
      <c r="F33" s="123">
        <f>E33*D33</f>
        <v>592</v>
      </c>
      <c r="G33" s="391">
        <f>H33*D33</f>
        <v>2960</v>
      </c>
      <c r="H33" s="76">
        <v>10</v>
      </c>
      <c r="I33" s="76">
        <f>H33/I45</f>
        <v>2.3148148148148147E-2</v>
      </c>
      <c r="J33" s="154">
        <f>I33*D33</f>
        <v>6.8518518518518512</v>
      </c>
      <c r="K33" s="76"/>
      <c r="L33" s="78">
        <v>0</v>
      </c>
      <c r="M33" s="180">
        <f>L33+J33+F33</f>
        <v>598.85185185185185</v>
      </c>
      <c r="S33" s="293"/>
      <c r="T33" s="287"/>
      <c r="U33" s="291"/>
      <c r="V33" s="291"/>
      <c r="W33" s="278"/>
      <c r="X33" s="287"/>
      <c r="AG33" s="400"/>
      <c r="AH33" s="401" t="s">
        <v>135</v>
      </c>
      <c r="AI33" s="402" t="s">
        <v>140</v>
      </c>
      <c r="AJ33" s="403"/>
      <c r="AK33" s="25"/>
      <c r="AM33" s="25"/>
      <c r="AN33" s="25"/>
      <c r="AO33" s="25"/>
      <c r="AP33" s="25"/>
      <c r="AQ33" s="25"/>
      <c r="AR33" s="25"/>
      <c r="AS33" s="25"/>
      <c r="AT33" s="25"/>
      <c r="BB33" s="24"/>
      <c r="BC33" s="24"/>
      <c r="BD33" s="24"/>
      <c r="BE33" s="24"/>
      <c r="BF33" s="24"/>
      <c r="BG33" s="24"/>
      <c r="BH33" s="24"/>
      <c r="CF33" s="26"/>
      <c r="CG33" s="24"/>
    </row>
    <row r="34" spans="1:85" ht="12" customHeight="1">
      <c r="A34" s="26"/>
      <c r="B34" s="77" t="s">
        <v>29</v>
      </c>
      <c r="C34" s="76"/>
      <c r="D34" s="133">
        <v>527</v>
      </c>
      <c r="E34" s="77">
        <v>2</v>
      </c>
      <c r="F34" s="123">
        <f>E34*D34</f>
        <v>1054</v>
      </c>
      <c r="G34" s="391">
        <f>H34*D34</f>
        <v>5270</v>
      </c>
      <c r="H34" s="76">
        <v>10</v>
      </c>
      <c r="I34" s="76">
        <f>H34/I45</f>
        <v>2.3148148148148147E-2</v>
      </c>
      <c r="J34" s="154">
        <f>I34*D34</f>
        <v>12.199074074074073</v>
      </c>
      <c r="K34" s="76"/>
      <c r="L34" s="78">
        <v>0</v>
      </c>
      <c r="M34" s="180">
        <f>L34+J34+F34</f>
        <v>1066.1990740740741</v>
      </c>
      <c r="S34" s="293"/>
      <c r="T34" s="287"/>
      <c r="U34" s="291"/>
      <c r="V34" s="291"/>
      <c r="W34" s="278"/>
      <c r="X34" s="287"/>
      <c r="AG34" s="198" t="s">
        <v>143</v>
      </c>
      <c r="AH34" s="124">
        <f>AH27</f>
        <v>51041.739130434784</v>
      </c>
      <c r="AI34" s="124">
        <f>AI20/100</f>
        <v>0</v>
      </c>
      <c r="AJ34" s="222"/>
      <c r="AK34" s="25"/>
      <c r="AM34" s="25"/>
      <c r="AN34" s="25"/>
      <c r="AO34" s="25"/>
      <c r="AP34" s="25"/>
      <c r="AQ34" s="25"/>
      <c r="AR34" s="25"/>
      <c r="AS34" s="25"/>
      <c r="AT34" s="25"/>
      <c r="BB34" s="24"/>
      <c r="BC34" s="24"/>
      <c r="BD34" s="24"/>
      <c r="BE34" s="24"/>
      <c r="BF34" s="24"/>
      <c r="BG34" s="24"/>
      <c r="BH34" s="24"/>
      <c r="CF34" s="26"/>
      <c r="CG34" s="24"/>
    </row>
    <row r="35" spans="1:85" ht="12" customHeight="1" thickBot="1">
      <c r="A35" s="26"/>
      <c r="B35" s="77"/>
      <c r="C35" s="76"/>
      <c r="D35" s="133"/>
      <c r="E35" s="77"/>
      <c r="F35" s="123"/>
      <c r="G35" s="391"/>
      <c r="H35" s="76"/>
      <c r="I35" s="76"/>
      <c r="J35" s="154"/>
      <c r="K35" s="76"/>
      <c r="L35" s="78"/>
      <c r="M35" s="180"/>
      <c r="S35" s="298"/>
      <c r="T35" s="290"/>
      <c r="U35" s="291"/>
      <c r="V35" s="291"/>
      <c r="W35" s="288"/>
      <c r="X35" s="290"/>
      <c r="AG35" s="198" t="s">
        <v>144</v>
      </c>
      <c r="AH35" s="124">
        <f>AH28</f>
        <v>18626.08695652174</v>
      </c>
      <c r="AI35" s="124">
        <f t="shared" ref="AI35:AI37" si="1">AI21/100</f>
        <v>751.94400000000007</v>
      </c>
      <c r="AJ35" s="223"/>
      <c r="AK35" s="25"/>
      <c r="AM35" s="25"/>
      <c r="AN35" s="25"/>
      <c r="AO35" s="25"/>
      <c r="AP35" s="25"/>
      <c r="AQ35" s="25"/>
      <c r="AR35" s="25"/>
      <c r="AS35" s="25"/>
      <c r="AT35" s="25"/>
      <c r="BB35" s="24"/>
      <c r="BC35" s="24"/>
      <c r="BD35" s="24"/>
      <c r="BE35" s="24"/>
      <c r="BF35" s="24"/>
      <c r="BG35" s="24"/>
      <c r="BH35" s="24"/>
      <c r="CF35" s="26"/>
      <c r="CG35" s="24"/>
    </row>
    <row r="36" spans="1:85" ht="12" customHeight="1" thickBot="1">
      <c r="A36" s="26"/>
      <c r="B36" s="77"/>
      <c r="C36" s="76"/>
      <c r="D36" s="132"/>
      <c r="E36" s="85"/>
      <c r="F36" s="315"/>
      <c r="G36" s="391"/>
      <c r="H36" s="76"/>
      <c r="I36" s="76"/>
      <c r="J36" s="154"/>
      <c r="K36" s="76"/>
      <c r="L36" s="78"/>
      <c r="M36" s="180"/>
      <c r="S36" s="279" t="s">
        <v>2</v>
      </c>
      <c r="T36" s="280" t="s">
        <v>199</v>
      </c>
      <c r="U36" s="301"/>
      <c r="V36" s="301"/>
      <c r="W36" s="281"/>
      <c r="X36" s="280"/>
      <c r="AG36" s="198" t="s">
        <v>145</v>
      </c>
      <c r="AH36" s="124">
        <f>AH29</f>
        <v>15558.260869565218</v>
      </c>
      <c r="AI36" s="124">
        <f t="shared" si="1"/>
        <v>1451.326</v>
      </c>
      <c r="AJ36" s="223"/>
      <c r="AK36" s="25"/>
      <c r="AM36" s="25"/>
      <c r="AN36" s="25"/>
      <c r="AP36" s="25"/>
      <c r="AQ36" s="25"/>
      <c r="AR36" s="25"/>
      <c r="AS36" s="25"/>
      <c r="AT36" s="25"/>
      <c r="BB36" s="24"/>
      <c r="BC36" s="24"/>
      <c r="BD36" s="24"/>
      <c r="BE36" s="24"/>
      <c r="BF36" s="24"/>
      <c r="BG36" s="24"/>
      <c r="BH36" s="24"/>
      <c r="CF36" s="26"/>
      <c r="CG36" s="24"/>
    </row>
    <row r="37" spans="1:85" ht="12" customHeight="1" thickBot="1">
      <c r="A37" s="26"/>
      <c r="B37" s="269" t="s">
        <v>40</v>
      </c>
      <c r="C37" s="265"/>
      <c r="D37" s="86">
        <f>SUM(D31:D34)</f>
        <v>3445</v>
      </c>
      <c r="E37" s="269"/>
      <c r="F37" s="314">
        <f>SUM(F32:F36)</f>
        <v>6890</v>
      </c>
      <c r="G37" s="394">
        <f>SUM(G32:G36)</f>
        <v>64865.200000000004</v>
      </c>
      <c r="H37" s="265"/>
      <c r="I37" s="327"/>
      <c r="J37" s="272">
        <f>SUM(J32:J36)</f>
        <v>150.15092592592592</v>
      </c>
      <c r="K37" s="265"/>
      <c r="L37" s="273">
        <f>SUM(L32:L36)</f>
        <v>0</v>
      </c>
      <c r="M37" s="310">
        <f>SUM(M32:M36)</f>
        <v>7040.1509259259265</v>
      </c>
      <c r="N37" s="140"/>
      <c r="O37" s="76"/>
      <c r="R37" s="258" t="s">
        <v>197</v>
      </c>
      <c r="S37" s="277">
        <f>M32+M33+M34</f>
        <v>7040.1509259259265</v>
      </c>
      <c r="T37" s="303">
        <f>S12+S20+S29+S37</f>
        <v>21304.243018518519</v>
      </c>
      <c r="U37" s="300">
        <f>S37-L32-L33-L34</f>
        <v>7040.1509259259265</v>
      </c>
      <c r="V37" s="292">
        <f>U12+U20+U29+U37</f>
        <v>20766.293018518518</v>
      </c>
      <c r="W37" s="275">
        <f>U37-F32-F33-F34</f>
        <v>150.15092592592646</v>
      </c>
      <c r="X37" s="303">
        <f>X29+W37</f>
        <v>486.10601851851959</v>
      </c>
      <c r="AG37" s="209" t="s">
        <v>146</v>
      </c>
      <c r="AH37" s="173">
        <f>AH30</f>
        <v>14274.782608695652</v>
      </c>
      <c r="AI37" s="173">
        <f t="shared" si="1"/>
        <v>2099.9780000000001</v>
      </c>
      <c r="AJ37" s="224"/>
      <c r="AK37" s="25"/>
      <c r="AM37" s="25"/>
      <c r="AN37" s="25"/>
      <c r="AO37" s="25"/>
      <c r="AQ37" s="25"/>
      <c r="AR37" s="25"/>
      <c r="AS37" s="25"/>
      <c r="AT37" s="25"/>
      <c r="BB37" s="24"/>
      <c r="BC37" s="24"/>
      <c r="BD37" s="24"/>
      <c r="BE37" s="24"/>
      <c r="BF37" s="24"/>
      <c r="BG37" s="24"/>
      <c r="BH37" s="24"/>
      <c r="CF37" s="26"/>
      <c r="CG37" s="24"/>
    </row>
    <row r="38" spans="1:85" ht="12" customHeight="1" thickBot="1">
      <c r="A38" s="26"/>
      <c r="B38" s="181"/>
      <c r="C38" s="171"/>
      <c r="D38" s="174"/>
      <c r="E38" s="171"/>
      <c r="F38" s="175"/>
      <c r="G38" s="388"/>
      <c r="H38" s="171"/>
      <c r="I38" s="176"/>
      <c r="J38" s="267"/>
      <c r="K38" s="181"/>
      <c r="L38" s="177"/>
      <c r="M38" s="313"/>
      <c r="N38" s="79"/>
      <c r="O38" s="76"/>
      <c r="P38" s="70"/>
      <c r="R38" s="307" t="s">
        <v>198</v>
      </c>
      <c r="S38" s="282">
        <f>S37+J37*T93+L37*T93</f>
        <v>32922.49915423034</v>
      </c>
      <c r="T38" s="172">
        <f>T30+S38</f>
        <v>197826.46100113002</v>
      </c>
      <c r="U38" s="302">
        <f>U37+J37*U93</f>
        <v>7112.4139477315366</v>
      </c>
      <c r="V38" s="304">
        <f>V30+U38</f>
        <v>21000.24089196268</v>
      </c>
      <c r="W38" s="282">
        <f>W37+J37*V93</f>
        <v>192.5546596364897</v>
      </c>
      <c r="X38" s="284">
        <f>X30+W38</f>
        <v>623.38595893347429</v>
      </c>
      <c r="AK38" s="25"/>
      <c r="AM38" s="25"/>
      <c r="AN38" s="25"/>
      <c r="AO38" s="25"/>
      <c r="AP38" s="25"/>
      <c r="AQ38" s="25"/>
      <c r="AR38" s="25"/>
      <c r="AS38" s="25"/>
      <c r="AT38" s="25"/>
      <c r="BB38" s="24"/>
      <c r="BC38" s="24"/>
      <c r="BD38" s="24"/>
      <c r="BE38" s="24"/>
      <c r="BF38" s="24"/>
      <c r="BG38" s="24"/>
      <c r="BH38" s="24"/>
      <c r="CF38" s="26"/>
      <c r="CG38" s="24"/>
    </row>
    <row r="39" spans="1:85" ht="15" customHeight="1">
      <c r="A39" s="26"/>
      <c r="B39" s="311"/>
      <c r="C39" s="74"/>
      <c r="D39" s="88"/>
      <c r="E39" s="74"/>
      <c r="F39" s="173"/>
      <c r="G39" s="395"/>
      <c r="I39" s="131"/>
      <c r="J39" s="79"/>
      <c r="K39" s="74"/>
      <c r="L39" s="74"/>
      <c r="M39" s="79"/>
      <c r="AL39" s="25"/>
      <c r="AM39" s="25"/>
      <c r="AN39" s="25"/>
      <c r="AO39" s="25"/>
      <c r="AP39" s="25"/>
      <c r="AQ39" s="25"/>
      <c r="AR39" s="25"/>
      <c r="AS39" s="25"/>
      <c r="AT39" s="25"/>
      <c r="BB39" s="24"/>
      <c r="BC39" s="24"/>
      <c r="BD39" s="24"/>
      <c r="BE39" s="24"/>
      <c r="BF39" s="24"/>
      <c r="BG39" s="24"/>
      <c r="BH39" s="24"/>
      <c r="CF39" s="26"/>
      <c r="CG39" s="24"/>
    </row>
    <row r="40" spans="1:85" ht="15" customHeight="1">
      <c r="A40" s="26"/>
      <c r="B40" s="74"/>
      <c r="C40" s="74"/>
      <c r="D40" s="88"/>
      <c r="E40" s="74"/>
      <c r="F40" s="89"/>
      <c r="G40" s="396">
        <f>G37+G29+G20</f>
        <v>209997.8</v>
      </c>
      <c r="H40" s="74" t="s">
        <v>216</v>
      </c>
      <c r="I40" s="131"/>
      <c r="J40" s="79"/>
      <c r="K40" s="74"/>
      <c r="L40" s="74"/>
      <c r="M40" s="79"/>
      <c r="AG40" s="26"/>
      <c r="AL40" s="25"/>
      <c r="AM40" s="25"/>
      <c r="AN40" s="25"/>
      <c r="AO40" s="25"/>
      <c r="AP40" s="25"/>
      <c r="AQ40" s="25"/>
      <c r="AR40" s="25"/>
      <c r="AS40" s="25"/>
      <c r="AT40" s="25"/>
      <c r="BB40" s="24"/>
      <c r="BC40" s="24"/>
      <c r="BD40" s="24"/>
      <c r="BE40" s="24"/>
      <c r="BF40" s="24"/>
      <c r="BG40" s="24"/>
      <c r="BH40" s="24"/>
      <c r="CF40" s="26"/>
      <c r="CG40" s="24"/>
    </row>
    <row r="41" spans="1:85" ht="15" customHeight="1">
      <c r="A41" s="26"/>
      <c r="B41" s="25" t="s">
        <v>27</v>
      </c>
      <c r="C41" s="25">
        <v>6</v>
      </c>
      <c r="D41" s="25" t="s">
        <v>155</v>
      </c>
      <c r="F41" s="89"/>
      <c r="I41" s="74"/>
      <c r="J41" s="79"/>
      <c r="K41" s="74"/>
      <c r="L41" s="74"/>
      <c r="M41" s="79"/>
      <c r="AG41" s="26"/>
      <c r="AL41" s="25"/>
      <c r="AM41" s="25"/>
      <c r="AN41" s="25"/>
      <c r="AO41" s="25"/>
      <c r="AP41" s="25"/>
      <c r="AQ41" s="25"/>
      <c r="AR41" s="25"/>
      <c r="AS41" s="25"/>
      <c r="AT41" s="25"/>
      <c r="BB41" s="24"/>
      <c r="BC41" s="24"/>
      <c r="BD41" s="24"/>
      <c r="BE41" s="24"/>
      <c r="BF41" s="24"/>
      <c r="BG41" s="24"/>
      <c r="BH41" s="24"/>
      <c r="CF41" s="26"/>
      <c r="CG41" s="24"/>
    </row>
    <row r="42" spans="1:85" ht="15" customHeight="1">
      <c r="A42" s="26"/>
      <c r="C42" s="25">
        <f>C41*3.6</f>
        <v>21.6</v>
      </c>
      <c r="D42" s="25" t="s">
        <v>34</v>
      </c>
      <c r="E42" s="70"/>
      <c r="F42" s="70"/>
      <c r="G42" s="74"/>
      <c r="AG42" s="26"/>
      <c r="AL42" s="25"/>
      <c r="AM42" s="25"/>
      <c r="AN42" s="25"/>
      <c r="AO42" s="25"/>
      <c r="AP42" s="25"/>
      <c r="AQ42" s="25"/>
      <c r="AR42" s="25"/>
      <c r="AS42" s="25"/>
      <c r="AT42" s="25"/>
      <c r="BB42" s="24"/>
      <c r="BC42" s="24"/>
      <c r="BD42" s="24"/>
      <c r="BE42" s="24"/>
      <c r="BF42" s="24"/>
      <c r="BG42" s="24"/>
      <c r="BH42" s="24"/>
      <c r="CF42" s="26"/>
      <c r="CG42" s="24"/>
    </row>
    <row r="43" spans="1:85" ht="15" customHeight="1">
      <c r="A43" s="26"/>
      <c r="B43" s="25" t="s">
        <v>156</v>
      </c>
      <c r="E43" s="80"/>
      <c r="F43" s="89"/>
      <c r="I43" s="102" t="s">
        <v>255</v>
      </c>
      <c r="J43" s="104"/>
      <c r="AG43" s="26"/>
      <c r="AL43" s="25"/>
      <c r="AM43" s="25"/>
      <c r="AN43" s="25"/>
      <c r="AO43" s="25"/>
      <c r="AP43" s="25"/>
      <c r="AQ43" s="25"/>
      <c r="AR43" s="25"/>
      <c r="AS43" s="25"/>
      <c r="AT43" s="25"/>
      <c r="BB43" s="24"/>
      <c r="BC43" s="24"/>
      <c r="BD43" s="24"/>
      <c r="BE43" s="24"/>
      <c r="BF43" s="24"/>
      <c r="BG43" s="24"/>
      <c r="BH43" s="24"/>
      <c r="CF43" s="26"/>
      <c r="CG43" s="24"/>
    </row>
    <row r="44" spans="1:85" ht="12" customHeight="1">
      <c r="A44" s="26"/>
      <c r="B44" s="70"/>
      <c r="C44" s="70"/>
      <c r="D44" s="70"/>
      <c r="E44" s="70"/>
      <c r="F44" s="74"/>
      <c r="I44" s="73" t="s">
        <v>256</v>
      </c>
      <c r="J44" s="91" t="s">
        <v>263</v>
      </c>
      <c r="AN44" s="25"/>
      <c r="AO44" s="25"/>
      <c r="AP44" s="25"/>
      <c r="AQ44" s="25"/>
      <c r="AR44" s="25"/>
      <c r="AS44" s="25"/>
      <c r="AT44" s="25"/>
      <c r="BB44" s="24"/>
      <c r="BC44" s="24"/>
      <c r="BD44" s="24"/>
      <c r="BE44" s="24"/>
      <c r="BF44" s="24"/>
      <c r="BG44" s="24"/>
      <c r="BH44" s="24"/>
      <c r="CF44" s="26"/>
      <c r="CG44" s="24"/>
    </row>
    <row r="45" spans="1:85" ht="12" customHeight="1">
      <c r="F45" s="70"/>
      <c r="I45" s="352">
        <f>U57</f>
        <v>432</v>
      </c>
      <c r="J45" s="107" t="s">
        <v>129</v>
      </c>
      <c r="BB45" s="24"/>
      <c r="BC45" s="24"/>
      <c r="BD45" s="24"/>
      <c r="BE45" s="24"/>
      <c r="BF45" s="24"/>
      <c r="BG45" s="24"/>
      <c r="BH45" s="24"/>
      <c r="CF45" s="26"/>
      <c r="CG45" s="24"/>
    </row>
    <row r="46" spans="1:85" ht="12" customHeight="1">
      <c r="F46" s="70"/>
      <c r="BB46" s="24"/>
      <c r="BC46" s="24"/>
      <c r="BD46" s="24"/>
      <c r="BE46" s="24"/>
      <c r="BF46" s="24"/>
      <c r="BG46" s="24"/>
      <c r="BH46" s="24"/>
      <c r="CF46" s="26"/>
      <c r="CG46" s="24"/>
    </row>
    <row r="47" spans="1:85" ht="11.1" customHeight="1">
      <c r="A47" s="26"/>
      <c r="B47" s="74"/>
      <c r="C47" s="74"/>
      <c r="D47" s="88"/>
      <c r="E47" s="74"/>
      <c r="F47" s="89"/>
      <c r="G47" s="74"/>
      <c r="AG47" s="25" t="s">
        <v>136</v>
      </c>
      <c r="BB47" s="24"/>
      <c r="BC47" s="24"/>
      <c r="BD47" s="24"/>
      <c r="BE47" s="24"/>
      <c r="BF47" s="24"/>
      <c r="BG47" s="24"/>
      <c r="BH47" s="24"/>
      <c r="CF47" s="26"/>
      <c r="CG47" s="24"/>
    </row>
    <row r="48" spans="1:85" ht="11.1" customHeight="1" thickBot="1">
      <c r="A48" s="26"/>
      <c r="C48" s="90"/>
      <c r="D48" s="70"/>
      <c r="E48" s="70"/>
      <c r="F48" s="121"/>
      <c r="G48" s="70"/>
      <c r="H48" s="70"/>
      <c r="I48" s="70"/>
      <c r="J48" s="70"/>
      <c r="K48" s="70"/>
      <c r="L48" s="70"/>
      <c r="M48" s="70"/>
      <c r="N48" s="70"/>
      <c r="O48" s="70"/>
      <c r="P48" s="70"/>
      <c r="BB48" s="24"/>
      <c r="BC48" s="24"/>
      <c r="BD48" s="24"/>
      <c r="BE48" s="24"/>
      <c r="BF48" s="24"/>
      <c r="BG48" s="24"/>
      <c r="BH48" s="24"/>
      <c r="CF48" s="26"/>
      <c r="CG48" s="24"/>
    </row>
    <row r="49" spans="1:60" ht="12" customHeight="1">
      <c r="A49" s="26"/>
      <c r="B49" s="88" t="s">
        <v>55</v>
      </c>
      <c r="C49" s="25" t="s">
        <v>166</v>
      </c>
      <c r="E49" s="63" t="s">
        <v>28</v>
      </c>
      <c r="F49" s="358" t="s">
        <v>219</v>
      </c>
      <c r="G49" s="62"/>
      <c r="H49" s="62" t="s">
        <v>260</v>
      </c>
      <c r="I49" s="125"/>
      <c r="J49" s="62" t="s">
        <v>217</v>
      </c>
      <c r="K49" s="63" t="s">
        <v>261</v>
      </c>
      <c r="L49" s="65" t="s">
        <v>218</v>
      </c>
      <c r="M49" s="65" t="s">
        <v>37</v>
      </c>
      <c r="O49" s="70"/>
      <c r="P49" s="70"/>
      <c r="AS49" s="26"/>
      <c r="AT49" s="26"/>
      <c r="AU49" s="26"/>
      <c r="AV49" s="26"/>
      <c r="AW49" s="26"/>
      <c r="AX49" s="26"/>
      <c r="AY49" s="26"/>
      <c r="AZ49" s="26"/>
      <c r="BA49" s="24"/>
      <c r="BB49" s="24"/>
      <c r="BC49" s="24"/>
      <c r="BD49" s="24"/>
      <c r="BE49" s="24"/>
      <c r="BF49" s="24"/>
      <c r="BG49" s="24"/>
      <c r="BH49" s="24"/>
    </row>
    <row r="50" spans="1:60" ht="11.1" customHeight="1" thickBot="1">
      <c r="A50" s="26"/>
      <c r="E50" s="69" t="s">
        <v>35</v>
      </c>
      <c r="F50" s="359" t="s">
        <v>204</v>
      </c>
      <c r="G50" s="351" t="s">
        <v>79</v>
      </c>
      <c r="H50" s="83" t="s">
        <v>34</v>
      </c>
      <c r="I50" s="145" t="s">
        <v>35</v>
      </c>
      <c r="J50" s="83" t="s">
        <v>204</v>
      </c>
      <c r="K50" s="94" t="s">
        <v>205</v>
      </c>
      <c r="L50" s="71" t="s">
        <v>204</v>
      </c>
      <c r="M50" s="84" t="s">
        <v>262</v>
      </c>
      <c r="O50" s="70"/>
      <c r="P50" s="70"/>
      <c r="S50" s="6" t="s">
        <v>175</v>
      </c>
      <c r="AH50" s="60" t="s">
        <v>164</v>
      </c>
      <c r="AI50" s="60" t="s">
        <v>188</v>
      </c>
      <c r="AJ50" s="60" t="s">
        <v>165</v>
      </c>
      <c r="BA50" s="24"/>
      <c r="BB50" s="24"/>
      <c r="BC50" s="24"/>
      <c r="BD50" s="24"/>
      <c r="BE50" s="24"/>
      <c r="BF50" s="24"/>
      <c r="BG50" s="24"/>
      <c r="BH50" s="24"/>
    </row>
    <row r="51" spans="1:60" ht="11.1" customHeight="1">
      <c r="A51" s="26"/>
      <c r="B51" s="49" t="s">
        <v>9</v>
      </c>
      <c r="C51" s="50" t="s">
        <v>92</v>
      </c>
      <c r="D51" s="62" t="s">
        <v>127</v>
      </c>
      <c r="E51" s="360" t="s">
        <v>28</v>
      </c>
      <c r="F51" s="361"/>
      <c r="G51" s="367"/>
      <c r="H51" s="66" t="s">
        <v>49</v>
      </c>
      <c r="I51" s="125"/>
      <c r="J51" s="62"/>
      <c r="K51" s="360" t="s">
        <v>128</v>
      </c>
      <c r="L51" s="374"/>
      <c r="M51" s="62" t="s">
        <v>48</v>
      </c>
      <c r="N51" s="73"/>
      <c r="P51" s="74"/>
      <c r="BA51" s="24"/>
      <c r="BB51" s="24"/>
      <c r="BC51" s="24"/>
      <c r="BD51" s="24"/>
      <c r="BE51" s="24"/>
      <c r="BF51" s="24"/>
      <c r="BG51" s="24"/>
      <c r="BH51" s="24"/>
    </row>
    <row r="52" spans="1:60" ht="11.1" customHeight="1">
      <c r="A52" s="26"/>
      <c r="B52" s="51" t="s">
        <v>31</v>
      </c>
      <c r="C52" s="52" t="s">
        <v>10</v>
      </c>
      <c r="D52" s="70"/>
      <c r="E52" s="69"/>
      <c r="F52" s="359"/>
      <c r="G52" s="356"/>
      <c r="H52" s="73"/>
      <c r="I52" s="80"/>
      <c r="J52" s="70"/>
      <c r="K52" s="69" t="s">
        <v>251</v>
      </c>
      <c r="L52" s="71"/>
      <c r="M52" s="70" t="s">
        <v>50</v>
      </c>
      <c r="N52" s="73"/>
      <c r="P52" s="70"/>
      <c r="S52" s="88"/>
      <c r="T52" s="74"/>
      <c r="U52" s="70"/>
      <c r="V52" s="74"/>
      <c r="W52" s="74"/>
      <c r="BA52" s="24"/>
      <c r="BB52" s="24"/>
      <c r="BC52" s="24"/>
      <c r="BD52" s="24"/>
      <c r="BE52" s="24"/>
      <c r="BF52" s="24"/>
      <c r="BG52" s="24"/>
      <c r="BH52" s="24"/>
    </row>
    <row r="53" spans="1:60" ht="11.1" customHeight="1" thickBot="1">
      <c r="A53" s="26"/>
      <c r="B53" s="53" t="s">
        <v>93</v>
      </c>
      <c r="C53" s="54"/>
      <c r="D53" s="70"/>
      <c r="E53" s="69"/>
      <c r="F53" s="359"/>
      <c r="G53" s="356"/>
      <c r="H53" s="73"/>
      <c r="I53" s="80"/>
      <c r="J53" s="70"/>
      <c r="K53" s="69"/>
      <c r="L53" s="71"/>
      <c r="M53" s="70"/>
      <c r="N53" s="73"/>
      <c r="O53" s="69"/>
      <c r="S53" s="88"/>
      <c r="T53" s="4"/>
      <c r="U53" s="4"/>
      <c r="V53" s="4"/>
      <c r="W53" s="4"/>
      <c r="BA53" s="24"/>
      <c r="BB53" s="24"/>
      <c r="BC53" s="24"/>
      <c r="BD53" s="24"/>
      <c r="BE53" s="24"/>
      <c r="BF53" s="24"/>
      <c r="BG53" s="24"/>
      <c r="BH53" s="24"/>
    </row>
    <row r="54" spans="1:60" ht="11.1" customHeight="1" thickBot="1">
      <c r="A54" s="26"/>
      <c r="B54" s="55" t="s">
        <v>11</v>
      </c>
      <c r="C54" s="332">
        <v>0</v>
      </c>
      <c r="D54" s="70">
        <v>2.5299999999999998</v>
      </c>
      <c r="E54" s="69">
        <v>1.6000000000000001E-3</v>
      </c>
      <c r="F54" s="362">
        <f t="shared" ref="F54:F65" si="2">E54*C54</f>
        <v>0</v>
      </c>
      <c r="G54" s="356" t="s">
        <v>41</v>
      </c>
      <c r="H54" s="73">
        <v>218</v>
      </c>
      <c r="I54" s="80">
        <f>H54/I45</f>
        <v>0.50462962962962965</v>
      </c>
      <c r="J54" s="341">
        <f t="shared" ref="J54:J93" si="3">I54*C54</f>
        <v>0</v>
      </c>
      <c r="K54" s="305">
        <v>27815</v>
      </c>
      <c r="L54" s="375">
        <f t="shared" ref="L54:L93" si="4">K54*C54</f>
        <v>0</v>
      </c>
      <c r="M54" s="80">
        <f t="shared" ref="M54:M93" si="5">L54+J54+F54</f>
        <v>0</v>
      </c>
      <c r="N54" s="73"/>
      <c r="O54" s="129"/>
      <c r="S54" s="63" t="s">
        <v>249</v>
      </c>
      <c r="T54" s="62"/>
      <c r="U54" s="266">
        <v>25</v>
      </c>
      <c r="V54" s="65" t="s">
        <v>167</v>
      </c>
      <c r="AG54" s="102" t="s">
        <v>226</v>
      </c>
      <c r="AH54" s="73" t="s">
        <v>227</v>
      </c>
      <c r="AI54" s="103"/>
      <c r="AJ54" s="104"/>
      <c r="BA54" s="24"/>
      <c r="BB54" s="24"/>
      <c r="BC54" s="24"/>
      <c r="BD54" s="24"/>
      <c r="BE54" s="24"/>
      <c r="BF54" s="24"/>
      <c r="BG54" s="24"/>
      <c r="BH54" s="24"/>
    </row>
    <row r="55" spans="1:60" ht="11.1" customHeight="1" thickBot="1">
      <c r="A55" s="26"/>
      <c r="B55" s="55" t="s">
        <v>12</v>
      </c>
      <c r="C55" s="332">
        <v>8.0537634408602141</v>
      </c>
      <c r="D55" s="70"/>
      <c r="E55" s="357">
        <v>3.2500000000000001E-2</v>
      </c>
      <c r="F55" s="363">
        <f t="shared" si="2"/>
        <v>0.26174731182795696</v>
      </c>
      <c r="G55" s="368">
        <f t="shared" ref="G55:G93" si="6">H55*C55</f>
        <v>120.80645161290322</v>
      </c>
      <c r="H55" s="95">
        <v>15</v>
      </c>
      <c r="I55" s="126">
        <f>H55/I45</f>
        <v>3.4722222222222224E-2</v>
      </c>
      <c r="J55" s="101">
        <f t="shared" si="3"/>
        <v>0.27964456391875747</v>
      </c>
      <c r="K55" s="376">
        <v>0</v>
      </c>
      <c r="L55" s="377">
        <f t="shared" si="4"/>
        <v>0</v>
      </c>
      <c r="M55" s="316">
        <f t="shared" si="5"/>
        <v>0.54139187574671443</v>
      </c>
      <c r="O55" s="70"/>
      <c r="S55" s="141"/>
      <c r="T55" s="4"/>
      <c r="U55" s="329"/>
      <c r="V55" s="142"/>
      <c r="AH55" s="70"/>
      <c r="AI55" s="70"/>
      <c r="AJ55" s="91"/>
      <c r="BA55" s="24"/>
      <c r="BB55" s="24"/>
      <c r="BC55" s="24"/>
      <c r="BD55" s="24"/>
      <c r="BE55" s="24"/>
      <c r="BF55" s="24"/>
      <c r="BG55" s="24"/>
      <c r="BH55" s="24"/>
    </row>
    <row r="56" spans="1:60" ht="11.1" customHeight="1" thickBot="1">
      <c r="A56" s="26"/>
      <c r="B56" s="55" t="s">
        <v>61</v>
      </c>
      <c r="C56" s="332"/>
      <c r="D56" s="70"/>
      <c r="E56" s="357"/>
      <c r="F56" s="363">
        <f t="shared" si="2"/>
        <v>0</v>
      </c>
      <c r="G56" s="368">
        <f t="shared" si="6"/>
        <v>0</v>
      </c>
      <c r="H56" s="95">
        <v>70</v>
      </c>
      <c r="I56" s="126">
        <f>H56/I45</f>
        <v>0.16203703703703703</v>
      </c>
      <c r="J56" s="101">
        <f t="shared" si="3"/>
        <v>0</v>
      </c>
      <c r="K56" s="376"/>
      <c r="L56" s="377">
        <f t="shared" si="4"/>
        <v>0</v>
      </c>
      <c r="M56" s="316">
        <f t="shared" si="5"/>
        <v>0</v>
      </c>
      <c r="O56" s="70"/>
      <c r="P56" s="70"/>
      <c r="S56" s="69" t="s">
        <v>237</v>
      </c>
      <c r="T56" s="70"/>
      <c r="U56" s="132">
        <v>110</v>
      </c>
      <c r="V56" s="71" t="s">
        <v>264</v>
      </c>
      <c r="AG56" s="73"/>
      <c r="AH56" s="70" t="s">
        <v>31</v>
      </c>
      <c r="AI56" s="70" t="s">
        <v>147</v>
      </c>
      <c r="AJ56" s="91"/>
      <c r="BA56" s="24"/>
      <c r="BB56" s="24"/>
      <c r="BC56" s="24"/>
      <c r="BD56" s="24"/>
      <c r="BE56" s="24"/>
      <c r="BF56" s="24"/>
      <c r="BG56" s="24"/>
      <c r="BH56" s="24"/>
    </row>
    <row r="57" spans="1:60" ht="11.1" customHeight="1" thickBot="1">
      <c r="A57" s="26"/>
      <c r="B57" s="55" t="s">
        <v>62</v>
      </c>
      <c r="C57" s="332">
        <v>2.150537634408602E-2</v>
      </c>
      <c r="D57" s="70"/>
      <c r="E57" s="357"/>
      <c r="F57" s="363">
        <f t="shared" si="2"/>
        <v>0</v>
      </c>
      <c r="G57" s="368">
        <f t="shared" si="6"/>
        <v>5.376344086021505</v>
      </c>
      <c r="H57" s="95">
        <v>250</v>
      </c>
      <c r="I57" s="126">
        <f>H57/I45</f>
        <v>0.57870370370370372</v>
      </c>
      <c r="J57" s="101">
        <f t="shared" si="3"/>
        <v>1.2445240939864596E-2</v>
      </c>
      <c r="K57" s="376">
        <v>99204</v>
      </c>
      <c r="L57" s="377">
        <f t="shared" si="4"/>
        <v>2133.4193548387093</v>
      </c>
      <c r="M57" s="316">
        <f t="shared" si="5"/>
        <v>2133.4318000796493</v>
      </c>
      <c r="O57" s="70"/>
      <c r="P57" s="70"/>
      <c r="S57" s="141"/>
      <c r="T57" s="4"/>
      <c r="U57" s="132">
        <v>432</v>
      </c>
      <c r="V57" s="71" t="s">
        <v>265</v>
      </c>
      <c r="AG57" s="73" t="s">
        <v>143</v>
      </c>
      <c r="AH57" s="80">
        <f>V65*G97</f>
        <v>180837.27272727274</v>
      </c>
      <c r="AI57" s="80">
        <f>G11</f>
        <v>0</v>
      </c>
      <c r="AJ57" s="316">
        <f>AH57+AI57</f>
        <v>180837.27272727274</v>
      </c>
      <c r="BA57" s="24"/>
      <c r="BB57" s="24"/>
      <c r="BC57" s="24"/>
      <c r="BD57" s="24"/>
      <c r="BE57" s="24"/>
      <c r="BF57" s="24"/>
      <c r="BG57" s="24"/>
      <c r="BH57" s="24"/>
    </row>
    <row r="58" spans="1:60" ht="11.1" customHeight="1" thickBot="1">
      <c r="A58" s="26"/>
      <c r="B58" s="55" t="s">
        <v>63</v>
      </c>
      <c r="C58" s="332"/>
      <c r="D58" s="70"/>
      <c r="E58" s="357"/>
      <c r="F58" s="363">
        <f t="shared" si="2"/>
        <v>0</v>
      </c>
      <c r="G58" s="368">
        <f t="shared" si="6"/>
        <v>0</v>
      </c>
      <c r="H58" s="95">
        <v>49</v>
      </c>
      <c r="I58" s="126">
        <f>H58/I45</f>
        <v>0.11342592592592593</v>
      </c>
      <c r="J58" s="101">
        <f t="shared" si="3"/>
        <v>0</v>
      </c>
      <c r="K58" s="376">
        <v>924536</v>
      </c>
      <c r="L58" s="377">
        <f t="shared" si="4"/>
        <v>0</v>
      </c>
      <c r="M58" s="316">
        <f t="shared" si="5"/>
        <v>0</v>
      </c>
      <c r="O58" s="70"/>
      <c r="P58" s="70"/>
      <c r="S58" s="141"/>
      <c r="T58" s="4"/>
      <c r="U58" s="4"/>
      <c r="V58" s="142"/>
      <c r="AG58" s="73" t="s">
        <v>144</v>
      </c>
      <c r="AH58" s="80">
        <f>V66*G97</f>
        <v>65990.909090909088</v>
      </c>
      <c r="AI58" s="80">
        <f>G20</f>
        <v>75194.400000000009</v>
      </c>
      <c r="AJ58" s="316">
        <f t="shared" ref="AJ58:AJ60" si="7">AH58+AI58</f>
        <v>141185.30909090908</v>
      </c>
      <c r="BA58" s="24"/>
      <c r="BB58" s="24"/>
      <c r="BC58" s="24"/>
      <c r="BD58" s="24"/>
      <c r="BE58" s="24"/>
      <c r="BF58" s="24"/>
      <c r="BG58" s="24"/>
      <c r="BH58" s="24"/>
    </row>
    <row r="59" spans="1:60" ht="11.1" customHeight="1" thickBot="1">
      <c r="A59" s="26"/>
      <c r="B59" s="55" t="s">
        <v>70</v>
      </c>
      <c r="C59" s="332"/>
      <c r="D59" s="70"/>
      <c r="E59" s="357"/>
      <c r="F59" s="363">
        <f t="shared" si="2"/>
        <v>0</v>
      </c>
      <c r="G59" s="368">
        <f t="shared" si="6"/>
        <v>0</v>
      </c>
      <c r="H59" s="95">
        <v>250</v>
      </c>
      <c r="I59" s="126">
        <f>H59/I45</f>
        <v>0.57870370370370372</v>
      </c>
      <c r="J59" s="101">
        <f t="shared" si="3"/>
        <v>0</v>
      </c>
      <c r="K59" s="376">
        <v>99204</v>
      </c>
      <c r="L59" s="377">
        <f t="shared" si="4"/>
        <v>0</v>
      </c>
      <c r="M59" s="316">
        <f t="shared" si="5"/>
        <v>0</v>
      </c>
      <c r="O59" s="70"/>
      <c r="P59" s="70"/>
      <c r="Q59" s="100"/>
      <c r="S59" s="69" t="s">
        <v>173</v>
      </c>
      <c r="T59" s="70"/>
      <c r="U59" s="330">
        <v>0.46</v>
      </c>
      <c r="V59" s="71" t="s">
        <v>174</v>
      </c>
      <c r="AG59" s="73" t="s">
        <v>145</v>
      </c>
      <c r="AH59" s="80">
        <f>V67*G97</f>
        <v>55121.818181818184</v>
      </c>
      <c r="AI59" s="80">
        <f>G11+G20+G29</f>
        <v>145132.6</v>
      </c>
      <c r="AJ59" s="316">
        <f t="shared" si="7"/>
        <v>200254.41818181818</v>
      </c>
      <c r="BA59" s="24"/>
      <c r="BB59" s="24"/>
      <c r="BC59" s="24"/>
      <c r="BD59" s="24"/>
      <c r="BE59" s="24"/>
      <c r="BF59" s="24"/>
      <c r="BG59" s="24"/>
      <c r="BH59" s="24"/>
    </row>
    <row r="60" spans="1:60" ht="11.1" customHeight="1" thickBot="1">
      <c r="A60" s="26"/>
      <c r="B60" s="55" t="s">
        <v>94</v>
      </c>
      <c r="C60" s="332">
        <v>5.3949462365591401E-2</v>
      </c>
      <c r="D60" s="70"/>
      <c r="E60" s="357">
        <v>1.6000000000000001E-3</v>
      </c>
      <c r="F60" s="363">
        <f t="shared" si="2"/>
        <v>8.6319139784946244E-5</v>
      </c>
      <c r="G60" s="368">
        <f t="shared" si="6"/>
        <v>11.760982795698926</v>
      </c>
      <c r="H60" s="95">
        <v>218</v>
      </c>
      <c r="I60" s="126">
        <f>H60/I45</f>
        <v>0.50462962962962965</v>
      </c>
      <c r="J60" s="101">
        <f t="shared" si="3"/>
        <v>2.7224497212266031E-2</v>
      </c>
      <c r="K60" s="376">
        <v>27815</v>
      </c>
      <c r="L60" s="377">
        <f t="shared" si="4"/>
        <v>1500.6042956989247</v>
      </c>
      <c r="M60" s="316">
        <f t="shared" si="5"/>
        <v>1500.6316065152769</v>
      </c>
      <c r="O60" s="70"/>
      <c r="P60" s="70"/>
      <c r="S60" s="87" t="s">
        <v>177</v>
      </c>
      <c r="T60" s="83"/>
      <c r="U60" s="331"/>
      <c r="V60" s="143"/>
      <c r="AG60" s="105" t="s">
        <v>146</v>
      </c>
      <c r="AH60" s="317">
        <f>V68*G97</f>
        <v>50574.545454545456</v>
      </c>
      <c r="AI60" s="317">
        <f>G11+G20+G29+G37</f>
        <v>209997.80000000002</v>
      </c>
      <c r="AJ60" s="318">
        <f t="shared" si="7"/>
        <v>260572.34545454546</v>
      </c>
      <c r="BA60" s="24"/>
      <c r="BB60" s="24"/>
      <c r="BC60" s="24"/>
      <c r="BD60" s="24"/>
      <c r="BE60" s="24"/>
      <c r="BF60" s="24"/>
      <c r="BG60" s="24"/>
      <c r="BH60" s="24"/>
    </row>
    <row r="61" spans="1:60" ht="11.1" customHeight="1" thickBot="1">
      <c r="A61" s="26"/>
      <c r="B61" s="55" t="s">
        <v>95</v>
      </c>
      <c r="C61" s="332"/>
      <c r="D61" s="70"/>
      <c r="E61" s="357">
        <v>1.1E-4</v>
      </c>
      <c r="F61" s="363">
        <f t="shared" si="2"/>
        <v>0</v>
      </c>
      <c r="G61" s="368">
        <f t="shared" si="6"/>
        <v>0</v>
      </c>
      <c r="H61" s="95">
        <v>26.2</v>
      </c>
      <c r="I61" s="126">
        <f>H61/I45</f>
        <v>6.0648148148148145E-2</v>
      </c>
      <c r="J61" s="101">
        <f t="shared" si="3"/>
        <v>0</v>
      </c>
      <c r="K61" s="376">
        <v>8184.3</v>
      </c>
      <c r="L61" s="377">
        <f t="shared" si="4"/>
        <v>0</v>
      </c>
      <c r="M61" s="316">
        <f t="shared" si="5"/>
        <v>0</v>
      </c>
      <c r="O61" s="70"/>
      <c r="P61" s="70"/>
      <c r="AG61" s="73"/>
      <c r="AH61" s="80"/>
      <c r="AI61" s="80"/>
      <c r="AJ61" s="316"/>
      <c r="BA61" s="24"/>
      <c r="BB61" s="24"/>
      <c r="BC61" s="24"/>
      <c r="BD61" s="24"/>
      <c r="BE61" s="24"/>
      <c r="BF61" s="24"/>
      <c r="BG61" s="24"/>
      <c r="BH61" s="24"/>
    </row>
    <row r="62" spans="1:60" ht="11.1" customHeight="1" thickBot="1">
      <c r="A62" s="26"/>
      <c r="B62" s="55" t="s">
        <v>7</v>
      </c>
      <c r="C62" s="332">
        <v>1.118279569892473</v>
      </c>
      <c r="D62" s="70"/>
      <c r="E62" s="357"/>
      <c r="F62" s="363">
        <f t="shared" si="2"/>
        <v>0</v>
      </c>
      <c r="G62" s="368">
        <f t="shared" si="6"/>
        <v>84.989247311827953</v>
      </c>
      <c r="H62" s="95">
        <v>76</v>
      </c>
      <c r="I62" s="126">
        <f>H62/I45</f>
        <v>0.17592592592592593</v>
      </c>
      <c r="J62" s="101">
        <f t="shared" si="3"/>
        <v>0.19673436877737951</v>
      </c>
      <c r="K62" s="376"/>
      <c r="L62" s="377">
        <f t="shared" si="4"/>
        <v>0</v>
      </c>
      <c r="M62" s="316">
        <f t="shared" si="5"/>
        <v>0.19673436877737951</v>
      </c>
      <c r="O62" s="70"/>
      <c r="P62" s="70"/>
      <c r="S62" s="25"/>
      <c r="T62" s="25"/>
      <c r="U62" s="25"/>
      <c r="V62" s="25"/>
      <c r="W62" s="25"/>
      <c r="X62" s="25"/>
      <c r="Y62" s="25"/>
      <c r="AG62" s="102" t="s">
        <v>225</v>
      </c>
      <c r="AH62" s="319" t="s">
        <v>31</v>
      </c>
      <c r="AI62" s="319" t="s">
        <v>147</v>
      </c>
      <c r="AJ62" s="320"/>
      <c r="BA62" s="24"/>
      <c r="BB62" s="24"/>
      <c r="BC62" s="24"/>
      <c r="BD62" s="24"/>
      <c r="BE62" s="24"/>
      <c r="BF62" s="24"/>
      <c r="BG62" s="24"/>
      <c r="BH62" s="24"/>
    </row>
    <row r="63" spans="1:60" ht="11.1" customHeight="1" thickBot="1">
      <c r="A63" s="26"/>
      <c r="B63" s="55" t="s">
        <v>96</v>
      </c>
      <c r="C63" s="332"/>
      <c r="D63" s="70"/>
      <c r="E63" s="357"/>
      <c r="F63" s="363">
        <f t="shared" si="2"/>
        <v>0</v>
      </c>
      <c r="G63" s="368">
        <f t="shared" si="6"/>
        <v>0</v>
      </c>
      <c r="H63" s="95">
        <v>26.5</v>
      </c>
      <c r="I63" s="126">
        <f>H63/I45</f>
        <v>6.1342592592592594E-2</v>
      </c>
      <c r="J63" s="101">
        <f t="shared" si="3"/>
        <v>0</v>
      </c>
      <c r="K63" s="376"/>
      <c r="L63" s="377">
        <f t="shared" si="4"/>
        <v>0</v>
      </c>
      <c r="M63" s="316">
        <f t="shared" si="5"/>
        <v>0</v>
      </c>
      <c r="O63" s="70"/>
      <c r="P63" s="70"/>
      <c r="S63" s="160"/>
      <c r="T63" s="160" t="s">
        <v>149</v>
      </c>
      <c r="U63" s="192"/>
      <c r="V63" s="102" t="s">
        <v>236</v>
      </c>
      <c r="W63" s="258" t="s">
        <v>267</v>
      </c>
      <c r="X63" s="257" t="s">
        <v>235</v>
      </c>
      <c r="Y63" s="161" t="s">
        <v>169</v>
      </c>
      <c r="Z63" s="161" t="s">
        <v>170</v>
      </c>
      <c r="AG63" s="73" t="s">
        <v>143</v>
      </c>
      <c r="AH63" s="80">
        <f>AH57/U54</f>
        <v>7233.4909090909096</v>
      </c>
      <c r="AI63" s="80">
        <f>AI57/50</f>
        <v>0</v>
      </c>
      <c r="AJ63" s="316">
        <f>AH63+AI63</f>
        <v>7233.4909090909096</v>
      </c>
      <c r="BA63" s="24"/>
      <c r="BB63" s="24"/>
      <c r="BC63" s="24"/>
      <c r="BD63" s="24"/>
      <c r="BE63" s="24"/>
      <c r="BF63" s="24"/>
      <c r="BG63" s="24"/>
      <c r="BH63" s="24"/>
    </row>
    <row r="64" spans="1:60" ht="11.1" customHeight="1" thickBot="1">
      <c r="A64" s="26"/>
      <c r="B64" s="55" t="s">
        <v>97</v>
      </c>
      <c r="C64" s="332"/>
      <c r="D64" s="70"/>
      <c r="E64" s="357"/>
      <c r="F64" s="363">
        <f t="shared" si="2"/>
        <v>0</v>
      </c>
      <c r="G64" s="368">
        <f t="shared" si="6"/>
        <v>0</v>
      </c>
      <c r="H64" s="95">
        <v>28</v>
      </c>
      <c r="I64" s="126">
        <f>H64/I45</f>
        <v>6.4814814814814811E-2</v>
      </c>
      <c r="J64" s="101">
        <f t="shared" si="3"/>
        <v>0</v>
      </c>
      <c r="K64" s="376"/>
      <c r="L64" s="377">
        <f t="shared" si="4"/>
        <v>0</v>
      </c>
      <c r="M64" s="316">
        <f t="shared" si="5"/>
        <v>0</v>
      </c>
      <c r="O64" s="70"/>
      <c r="P64" s="70"/>
      <c r="S64" s="108"/>
      <c r="T64" s="108" t="s">
        <v>150</v>
      </c>
      <c r="U64" s="193"/>
      <c r="V64" s="105" t="s">
        <v>168</v>
      </c>
      <c r="W64" s="259" t="s">
        <v>138</v>
      </c>
      <c r="X64" s="257" t="s">
        <v>139</v>
      </c>
      <c r="Y64" s="162" t="s">
        <v>172</v>
      </c>
      <c r="Z64" s="161" t="s">
        <v>171</v>
      </c>
      <c r="AG64" s="73" t="s">
        <v>144</v>
      </c>
      <c r="AH64" s="80">
        <f>AH58/U54</f>
        <v>2639.6363636363635</v>
      </c>
      <c r="AI64" s="80">
        <f>AI58/50</f>
        <v>1503.8880000000001</v>
      </c>
      <c r="AJ64" s="316">
        <f t="shared" ref="AJ64:AJ66" si="8">AH64+AI64</f>
        <v>4143.5243636363639</v>
      </c>
      <c r="BA64" s="24"/>
      <c r="BB64" s="24"/>
      <c r="BC64" s="24"/>
      <c r="BD64" s="24"/>
      <c r="BE64" s="24"/>
      <c r="BF64" s="24"/>
      <c r="BG64" s="24"/>
      <c r="BH64" s="24"/>
    </row>
    <row r="65" spans="1:60" ht="11.1" customHeight="1" thickBot="1">
      <c r="A65" s="26"/>
      <c r="B65" s="56" t="s">
        <v>67</v>
      </c>
      <c r="C65" s="332"/>
      <c r="D65" s="70"/>
      <c r="E65" s="357"/>
      <c r="F65" s="363">
        <f t="shared" si="2"/>
        <v>0</v>
      </c>
      <c r="G65" s="368">
        <f t="shared" si="6"/>
        <v>0</v>
      </c>
      <c r="H65" s="95">
        <v>70</v>
      </c>
      <c r="I65" s="126">
        <f>H65/I45</f>
        <v>0.16203703703703703</v>
      </c>
      <c r="J65" s="101">
        <f t="shared" si="3"/>
        <v>0</v>
      </c>
      <c r="K65" s="376"/>
      <c r="L65" s="377">
        <f t="shared" si="4"/>
        <v>0</v>
      </c>
      <c r="M65" s="316">
        <f t="shared" si="5"/>
        <v>0</v>
      </c>
      <c r="O65" s="70"/>
      <c r="P65" s="70"/>
      <c r="S65" s="161" t="s">
        <v>143</v>
      </c>
      <c r="T65" s="109">
        <f>U65+V65*0.25</f>
        <v>119.32295454545455</v>
      </c>
      <c r="U65" s="80">
        <f>V65/2*3+V65*0.25*1.05</f>
        <v>104.50022727272727</v>
      </c>
      <c r="V65" s="82">
        <f>W65/U56</f>
        <v>59.290909090909089</v>
      </c>
      <c r="W65" s="260">
        <v>6522</v>
      </c>
      <c r="X65" s="104">
        <f>W65*3.6</f>
        <v>23479.200000000001</v>
      </c>
      <c r="Y65" s="322">
        <f>X65/U59</f>
        <v>51041.739130434784</v>
      </c>
      <c r="Z65" s="322">
        <v>0</v>
      </c>
      <c r="AG65" s="73" t="s">
        <v>145</v>
      </c>
      <c r="AH65" s="80">
        <f>AH59/U54</f>
        <v>2204.8727272727274</v>
      </c>
      <c r="AI65" s="80">
        <f>AI59/50</f>
        <v>2902.652</v>
      </c>
      <c r="AJ65" s="316">
        <f t="shared" si="8"/>
        <v>5107.5247272727274</v>
      </c>
      <c r="BA65" s="24"/>
      <c r="BB65" s="24"/>
      <c r="BC65" s="24"/>
      <c r="BD65" s="24"/>
      <c r="BE65" s="24"/>
      <c r="BF65" s="24"/>
      <c r="BG65" s="24"/>
      <c r="BH65" s="24"/>
    </row>
    <row r="66" spans="1:60" ht="11.1" customHeight="1" thickBot="1">
      <c r="A66" s="26"/>
      <c r="B66" s="57" t="s">
        <v>101</v>
      </c>
      <c r="C66" s="332">
        <v>0.62</v>
      </c>
      <c r="D66" s="70"/>
      <c r="E66" s="357"/>
      <c r="F66" s="363"/>
      <c r="G66" s="368">
        <f t="shared" si="6"/>
        <v>1.24</v>
      </c>
      <c r="H66" s="95">
        <v>2</v>
      </c>
      <c r="I66" s="126">
        <f>H66/I45</f>
        <v>4.6296296296296294E-3</v>
      </c>
      <c r="J66" s="101">
        <f t="shared" si="3"/>
        <v>2.8703703703703703E-3</v>
      </c>
      <c r="K66" s="376"/>
      <c r="L66" s="377">
        <f t="shared" si="4"/>
        <v>0</v>
      </c>
      <c r="M66" s="316">
        <f t="shared" si="5"/>
        <v>2.8703703703703703E-3</v>
      </c>
      <c r="O66" s="70"/>
      <c r="P66" s="70"/>
      <c r="S66" s="161" t="s">
        <v>144</v>
      </c>
      <c r="T66" s="109">
        <f>U66+V66*0.25</f>
        <v>43.543181818181814</v>
      </c>
      <c r="U66" s="80">
        <f>V66/2*3+V66*0.25*1.05</f>
        <v>38.134090909090908</v>
      </c>
      <c r="V66" s="82">
        <f>W66/U56</f>
        <v>21.636363636363637</v>
      </c>
      <c r="W66" s="260">
        <v>2380</v>
      </c>
      <c r="X66" s="91">
        <f>W66*3.6</f>
        <v>8568</v>
      </c>
      <c r="Y66" s="96">
        <f>X66/U59</f>
        <v>18626.08695652174</v>
      </c>
      <c r="Z66" s="96">
        <f>Y65-Y66</f>
        <v>32415.652173913044</v>
      </c>
      <c r="AG66" s="105" t="s">
        <v>146</v>
      </c>
      <c r="AH66" s="317">
        <f>AH60/U54</f>
        <v>2022.9818181818182</v>
      </c>
      <c r="AI66" s="317">
        <f>AI60/50</f>
        <v>4199.9560000000001</v>
      </c>
      <c r="AJ66" s="318">
        <f t="shared" si="8"/>
        <v>6222.9378181818183</v>
      </c>
      <c r="BA66" s="24"/>
      <c r="BB66" s="24"/>
      <c r="BC66" s="24"/>
      <c r="BD66" s="24"/>
      <c r="BE66" s="24"/>
      <c r="BF66" s="24"/>
      <c r="BG66" s="24"/>
      <c r="BH66" s="24"/>
    </row>
    <row r="67" spans="1:60" ht="11.1" customHeight="1" thickBot="1">
      <c r="A67" s="26"/>
      <c r="B67" s="55" t="s">
        <v>120</v>
      </c>
      <c r="C67" s="332">
        <v>0.11</v>
      </c>
      <c r="D67" s="70"/>
      <c r="E67" s="357"/>
      <c r="F67" s="363"/>
      <c r="G67" s="368">
        <f t="shared" si="6"/>
        <v>2.4750000000000001</v>
      </c>
      <c r="H67" s="95">
        <v>22.5</v>
      </c>
      <c r="I67" s="126">
        <f>H67/I45</f>
        <v>5.2083333333333336E-2</v>
      </c>
      <c r="J67" s="101">
        <f t="shared" si="3"/>
        <v>5.7291666666666671E-3</v>
      </c>
      <c r="K67" s="376"/>
      <c r="L67" s="377">
        <f t="shared" si="4"/>
        <v>0</v>
      </c>
      <c r="M67" s="316">
        <f t="shared" si="5"/>
        <v>5.7291666666666671E-3</v>
      </c>
      <c r="O67" s="70"/>
      <c r="P67" s="70"/>
      <c r="S67" s="161" t="s">
        <v>145</v>
      </c>
      <c r="T67" s="109">
        <f>U67+V67*0.25</f>
        <v>36.37136363636364</v>
      </c>
      <c r="U67" s="80">
        <f>V67/2*3+V67*0.25*1.05</f>
        <v>31.85318181818182</v>
      </c>
      <c r="V67" s="82">
        <f>W67/U56</f>
        <v>18.072727272727274</v>
      </c>
      <c r="W67" s="260">
        <v>1988</v>
      </c>
      <c r="X67" s="91">
        <f>W67*3.6</f>
        <v>7156.8</v>
      </c>
      <c r="Y67" s="96">
        <f>X67/U59</f>
        <v>15558.260869565218</v>
      </c>
      <c r="Z67" s="96">
        <f>Y65-Y67</f>
        <v>35483.478260869568</v>
      </c>
      <c r="BA67" s="24"/>
      <c r="BB67" s="24"/>
      <c r="BC67" s="24"/>
      <c r="BD67" s="24"/>
      <c r="BE67" s="24"/>
      <c r="BF67" s="24"/>
      <c r="BG67" s="24"/>
      <c r="BH67" s="24"/>
    </row>
    <row r="68" spans="1:60" ht="11.1" customHeight="1" thickBot="1">
      <c r="A68" s="26"/>
      <c r="B68" s="55" t="s">
        <v>103</v>
      </c>
      <c r="C68" s="332">
        <v>0.56999999999999995</v>
      </c>
      <c r="D68" s="70"/>
      <c r="E68" s="357"/>
      <c r="F68" s="363"/>
      <c r="G68" s="368">
        <f t="shared" si="6"/>
        <v>5.4206999999999992</v>
      </c>
      <c r="H68" s="95">
        <v>9.51</v>
      </c>
      <c r="I68" s="126">
        <f>H68/I45</f>
        <v>2.2013888888888888E-2</v>
      </c>
      <c r="J68" s="101">
        <f t="shared" si="3"/>
        <v>1.2547916666666666E-2</v>
      </c>
      <c r="K68" s="376"/>
      <c r="L68" s="377">
        <f t="shared" si="4"/>
        <v>0</v>
      </c>
      <c r="M68" s="316">
        <f t="shared" si="5"/>
        <v>1.2547916666666666E-2</v>
      </c>
      <c r="O68" s="70"/>
      <c r="P68" s="70"/>
      <c r="S68" s="161" t="s">
        <v>146</v>
      </c>
      <c r="T68" s="146">
        <f>U68+V68*0.25</f>
        <v>33.370909090909095</v>
      </c>
      <c r="U68" s="145">
        <f>V68/2*3+V68*0.25*1.05</f>
        <v>29.225454545454546</v>
      </c>
      <c r="V68" s="333">
        <f>W68/U56</f>
        <v>16.581818181818182</v>
      </c>
      <c r="W68" s="261">
        <v>1824</v>
      </c>
      <c r="X68" s="107">
        <f>W68*3.6</f>
        <v>6566.4000000000005</v>
      </c>
      <c r="Y68" s="323">
        <f>X68/U59</f>
        <v>14274.782608695652</v>
      </c>
      <c r="Z68" s="323">
        <f>Y65-Y68</f>
        <v>36766.956521739135</v>
      </c>
      <c r="BA68" s="24"/>
      <c r="BB68" s="24"/>
      <c r="BC68" s="24"/>
      <c r="BD68" s="24"/>
      <c r="BE68" s="24"/>
      <c r="BF68" s="24"/>
      <c r="BG68" s="24"/>
      <c r="BH68" s="24"/>
    </row>
    <row r="69" spans="1:60" ht="11.1" customHeight="1" thickBot="1">
      <c r="A69" s="26"/>
      <c r="B69" s="55" t="s">
        <v>121</v>
      </c>
      <c r="C69" s="332">
        <v>0.42</v>
      </c>
      <c r="D69" s="70"/>
      <c r="E69" s="357"/>
      <c r="F69" s="363"/>
      <c r="G69" s="368">
        <f t="shared" si="6"/>
        <v>0.52500000000000002</v>
      </c>
      <c r="H69" s="95">
        <v>1.25</v>
      </c>
      <c r="I69" s="126">
        <f>H69/I45</f>
        <v>2.8935185185185184E-3</v>
      </c>
      <c r="J69" s="101">
        <f t="shared" si="3"/>
        <v>1.2152777777777776E-3</v>
      </c>
      <c r="K69" s="376"/>
      <c r="L69" s="377">
        <f t="shared" si="4"/>
        <v>0</v>
      </c>
      <c r="M69" s="316">
        <f t="shared" si="5"/>
        <v>1.2152777777777776E-3</v>
      </c>
      <c r="O69" s="70"/>
      <c r="P69" s="70"/>
      <c r="BA69" s="24"/>
      <c r="BB69" s="24"/>
      <c r="BC69" s="24"/>
      <c r="BD69" s="24"/>
      <c r="BE69" s="24"/>
      <c r="BF69" s="24"/>
      <c r="BG69" s="24"/>
      <c r="BH69" s="24"/>
    </row>
    <row r="70" spans="1:60" ht="11.1" customHeight="1" thickBot="1">
      <c r="A70" s="26"/>
      <c r="B70" s="55" t="s">
        <v>122</v>
      </c>
      <c r="C70" s="332">
        <v>1.1399999999999999</v>
      </c>
      <c r="D70" s="70"/>
      <c r="E70" s="357"/>
      <c r="F70" s="363"/>
      <c r="G70" s="368">
        <f t="shared" si="6"/>
        <v>2.7245999999999997</v>
      </c>
      <c r="H70" s="95">
        <v>2.39</v>
      </c>
      <c r="I70" s="126">
        <f>H70/I45</f>
        <v>5.5324074074074078E-3</v>
      </c>
      <c r="J70" s="101">
        <f t="shared" si="3"/>
        <v>6.306944444444444E-3</v>
      </c>
      <c r="K70" s="376"/>
      <c r="L70" s="377">
        <f t="shared" si="4"/>
        <v>0</v>
      </c>
      <c r="M70" s="316">
        <f t="shared" si="5"/>
        <v>6.306944444444444E-3</v>
      </c>
      <c r="O70" s="70"/>
      <c r="P70" s="70"/>
      <c r="BA70" s="24"/>
      <c r="BB70" s="24"/>
      <c r="BC70" s="24"/>
      <c r="BD70" s="24"/>
      <c r="BE70" s="24"/>
      <c r="BF70" s="24"/>
      <c r="BG70" s="24"/>
      <c r="BH70" s="24"/>
    </row>
    <row r="71" spans="1:60" ht="11.1" customHeight="1" thickBot="1">
      <c r="A71" s="26"/>
      <c r="B71" s="55" t="s">
        <v>108</v>
      </c>
      <c r="C71" s="332">
        <v>0.01</v>
      </c>
      <c r="D71" s="70"/>
      <c r="E71" s="357"/>
      <c r="F71" s="363"/>
      <c r="G71" s="368">
        <f t="shared" si="6"/>
        <v>0.129</v>
      </c>
      <c r="H71" s="95">
        <v>12.9</v>
      </c>
      <c r="I71" s="126">
        <f>H71/I45</f>
        <v>2.9861111111111113E-2</v>
      </c>
      <c r="J71" s="101">
        <f t="shared" si="3"/>
        <v>2.9861111111111115E-4</v>
      </c>
      <c r="K71" s="376"/>
      <c r="L71" s="377">
        <f t="shared" si="4"/>
        <v>0</v>
      </c>
      <c r="M71" s="316">
        <f t="shared" si="5"/>
        <v>2.9861111111111115E-4</v>
      </c>
      <c r="O71" s="70"/>
      <c r="P71" s="70"/>
    </row>
    <row r="72" spans="1:60" ht="12.75" customHeight="1" thickBot="1">
      <c r="A72" s="26"/>
      <c r="B72" s="55" t="s">
        <v>123</v>
      </c>
      <c r="C72" s="332">
        <v>0.1</v>
      </c>
      <c r="D72" s="70"/>
      <c r="E72" s="357"/>
      <c r="F72" s="363"/>
      <c r="G72" s="368">
        <f t="shared" si="6"/>
        <v>0.315</v>
      </c>
      <c r="H72" s="95">
        <v>3.15</v>
      </c>
      <c r="I72" s="126">
        <f>H72/I45</f>
        <v>7.2916666666666668E-3</v>
      </c>
      <c r="J72" s="101">
        <f t="shared" si="3"/>
        <v>7.291666666666667E-4</v>
      </c>
      <c r="K72" s="376"/>
      <c r="L72" s="377">
        <f t="shared" si="4"/>
        <v>0</v>
      </c>
      <c r="M72" s="316">
        <f t="shared" si="5"/>
        <v>7.291666666666667E-4</v>
      </c>
      <c r="O72" s="70"/>
      <c r="P72" s="70"/>
      <c r="S72" s="25" t="s">
        <v>178</v>
      </c>
    </row>
    <row r="73" spans="1:60" ht="11.1" customHeight="1" thickBot="1">
      <c r="A73" s="26"/>
      <c r="B73" s="55" t="s">
        <v>110</v>
      </c>
      <c r="C73" s="332">
        <v>0.67</v>
      </c>
      <c r="D73" s="70"/>
      <c r="E73" s="357"/>
      <c r="F73" s="363"/>
      <c r="G73" s="368">
        <f t="shared" si="6"/>
        <v>1.3266</v>
      </c>
      <c r="H73" s="95">
        <v>1.98</v>
      </c>
      <c r="I73" s="126">
        <f>H73/I45</f>
        <v>4.5833333333333334E-3</v>
      </c>
      <c r="J73" s="101">
        <f t="shared" si="3"/>
        <v>3.0708333333333334E-3</v>
      </c>
      <c r="K73" s="376"/>
      <c r="L73" s="377">
        <f t="shared" si="4"/>
        <v>0</v>
      </c>
      <c r="M73" s="316">
        <f t="shared" si="5"/>
        <v>3.0708333333333334E-3</v>
      </c>
      <c r="O73" s="70"/>
      <c r="P73" s="70"/>
      <c r="S73" s="25" t="s">
        <v>152</v>
      </c>
      <c r="T73" s="25"/>
    </row>
    <row r="74" spans="1:60" ht="11.1" customHeight="1" thickBot="1">
      <c r="A74" s="26"/>
      <c r="B74" s="55" t="s">
        <v>111</v>
      </c>
      <c r="C74" s="332">
        <v>1.01</v>
      </c>
      <c r="D74" s="70"/>
      <c r="E74" s="357"/>
      <c r="F74" s="363"/>
      <c r="G74" s="368">
        <f t="shared" si="6"/>
        <v>30.906000000000002</v>
      </c>
      <c r="H74" s="95">
        <v>30.6</v>
      </c>
      <c r="I74" s="126">
        <f>H74/I45</f>
        <v>7.0833333333333331E-2</v>
      </c>
      <c r="J74" s="101">
        <f t="shared" si="3"/>
        <v>7.154166666666667E-2</v>
      </c>
      <c r="K74" s="376"/>
      <c r="L74" s="377">
        <f t="shared" si="4"/>
        <v>0</v>
      </c>
      <c r="M74" s="316">
        <f t="shared" si="5"/>
        <v>7.154166666666667E-2</v>
      </c>
      <c r="O74" s="70"/>
      <c r="P74" s="70"/>
      <c r="S74" s="25" t="s">
        <v>153</v>
      </c>
      <c r="T74" s="25"/>
    </row>
    <row r="75" spans="1:60" ht="11.1" customHeight="1" thickBot="1">
      <c r="A75" s="26"/>
      <c r="B75" s="55" t="s">
        <v>112</v>
      </c>
      <c r="C75" s="332">
        <v>0.67</v>
      </c>
      <c r="D75" s="70"/>
      <c r="E75" s="357"/>
      <c r="F75" s="363"/>
      <c r="G75" s="368">
        <f t="shared" si="6"/>
        <v>33.164999999999999</v>
      </c>
      <c r="H75" s="95">
        <v>49.5</v>
      </c>
      <c r="I75" s="126">
        <f>H75/I45</f>
        <v>0.11458333333333333</v>
      </c>
      <c r="J75" s="101">
        <f t="shared" si="3"/>
        <v>7.677083333333333E-2</v>
      </c>
      <c r="K75" s="376"/>
      <c r="L75" s="377">
        <f t="shared" si="4"/>
        <v>0</v>
      </c>
      <c r="M75" s="316">
        <f t="shared" si="5"/>
        <v>7.677083333333333E-2</v>
      </c>
      <c r="O75" s="70"/>
      <c r="P75" s="70"/>
      <c r="S75" s="25" t="s">
        <v>154</v>
      </c>
      <c r="T75" s="25"/>
    </row>
    <row r="76" spans="1:60" ht="11.1" customHeight="1" thickBot="1">
      <c r="A76" s="26"/>
      <c r="B76" s="55" t="s">
        <v>124</v>
      </c>
      <c r="C76" s="332">
        <v>1.24</v>
      </c>
      <c r="D76" s="70"/>
      <c r="E76" s="357"/>
      <c r="F76" s="363"/>
      <c r="G76" s="368">
        <f t="shared" si="6"/>
        <v>92.256</v>
      </c>
      <c r="H76" s="95">
        <v>74.400000000000006</v>
      </c>
      <c r="I76" s="126">
        <f>H76/I45</f>
        <v>0.17222222222222225</v>
      </c>
      <c r="J76" s="101">
        <f t="shared" si="3"/>
        <v>0.21355555555555558</v>
      </c>
      <c r="K76" s="376"/>
      <c r="L76" s="377">
        <f t="shared" si="4"/>
        <v>0</v>
      </c>
      <c r="M76" s="316">
        <f t="shared" si="5"/>
        <v>0.21355555555555558</v>
      </c>
      <c r="O76" s="70"/>
      <c r="P76" s="70"/>
      <c r="S76" s="184">
        <v>41306</v>
      </c>
      <c r="T76" s="25"/>
    </row>
    <row r="77" spans="1:60" ht="11.1" customHeight="1" thickBot="1">
      <c r="A77" s="26"/>
      <c r="B77" s="55" t="s">
        <v>115</v>
      </c>
      <c r="C77" s="332">
        <v>4.78</v>
      </c>
      <c r="D77" s="70"/>
      <c r="E77" s="357"/>
      <c r="F77" s="363"/>
      <c r="G77" s="368">
        <f t="shared" si="6"/>
        <v>404.38799999999998</v>
      </c>
      <c r="H77" s="95">
        <v>84.6</v>
      </c>
      <c r="I77" s="126">
        <f>H77/I45</f>
        <v>0.19583333333333333</v>
      </c>
      <c r="J77" s="101">
        <f t="shared" si="3"/>
        <v>0.93608333333333338</v>
      </c>
      <c r="K77" s="376"/>
      <c r="L77" s="377">
        <f t="shared" si="4"/>
        <v>0</v>
      </c>
      <c r="M77" s="316">
        <f t="shared" si="5"/>
        <v>0.93608333333333338</v>
      </c>
      <c r="O77" s="70"/>
      <c r="P77" s="70"/>
      <c r="S77" s="25" t="s">
        <v>176</v>
      </c>
      <c r="T77" s="25"/>
      <c r="AG77" s="40" t="s">
        <v>229</v>
      </c>
      <c r="AH77" s="38"/>
      <c r="AI77" s="38"/>
      <c r="AJ77" s="39"/>
      <c r="AL77" s="27"/>
    </row>
    <row r="78" spans="1:60" ht="11.1" customHeight="1" thickBot="1">
      <c r="A78" s="26"/>
      <c r="B78" s="58" t="s">
        <v>87</v>
      </c>
      <c r="C78" s="332"/>
      <c r="D78" s="70"/>
      <c r="E78" s="357"/>
      <c r="F78" s="363"/>
      <c r="G78" s="368">
        <f t="shared" si="6"/>
        <v>0</v>
      </c>
      <c r="H78" s="95">
        <v>190</v>
      </c>
      <c r="I78" s="126">
        <f>H78/I45</f>
        <v>0.43981481481481483</v>
      </c>
      <c r="J78" s="101">
        <f t="shared" si="3"/>
        <v>0</v>
      </c>
      <c r="K78" s="376"/>
      <c r="L78" s="377">
        <f t="shared" si="4"/>
        <v>0</v>
      </c>
      <c r="M78" s="316">
        <f t="shared" si="5"/>
        <v>0</v>
      </c>
      <c r="O78" s="70"/>
      <c r="P78" s="70"/>
      <c r="S78" s="25" t="s">
        <v>157</v>
      </c>
      <c r="T78" s="25"/>
      <c r="AG78" s="28" t="s">
        <v>228</v>
      </c>
      <c r="AH78" s="27"/>
      <c r="AI78" s="27"/>
      <c r="AJ78" s="32"/>
      <c r="AL78" s="27"/>
    </row>
    <row r="79" spans="1:60" ht="11.1" customHeight="1" thickBot="1">
      <c r="A79" s="26"/>
      <c r="B79" s="58" t="s">
        <v>88</v>
      </c>
      <c r="C79" s="332"/>
      <c r="D79" s="70"/>
      <c r="E79" s="357"/>
      <c r="F79" s="363"/>
      <c r="G79" s="368">
        <f t="shared" si="6"/>
        <v>0</v>
      </c>
      <c r="H79" s="95">
        <v>756</v>
      </c>
      <c r="I79" s="126">
        <f>H79/I45</f>
        <v>1.75</v>
      </c>
      <c r="J79" s="101">
        <f t="shared" si="3"/>
        <v>0</v>
      </c>
      <c r="K79" s="376"/>
      <c r="L79" s="377">
        <f t="shared" si="4"/>
        <v>0</v>
      </c>
      <c r="M79" s="316">
        <f t="shared" si="5"/>
        <v>0</v>
      </c>
      <c r="O79" s="70"/>
      <c r="P79" s="70"/>
      <c r="AG79" s="28"/>
      <c r="AH79" s="27"/>
      <c r="AI79" s="27"/>
      <c r="AJ79" s="32"/>
      <c r="AL79" s="27"/>
    </row>
    <row r="80" spans="1:60" ht="11.1" customHeight="1" thickBot="1">
      <c r="A80" s="26"/>
      <c r="B80" s="58" t="s">
        <v>89</v>
      </c>
      <c r="C80" s="332"/>
      <c r="D80" s="70"/>
      <c r="E80" s="357"/>
      <c r="F80" s="363"/>
      <c r="G80" s="368">
        <f t="shared" si="6"/>
        <v>0</v>
      </c>
      <c r="H80" s="95">
        <v>5.6</v>
      </c>
      <c r="I80" s="126">
        <f>H80/I45</f>
        <v>1.2962962962962963E-2</v>
      </c>
      <c r="J80" s="101">
        <f t="shared" si="3"/>
        <v>0</v>
      </c>
      <c r="K80" s="376"/>
      <c r="L80" s="377">
        <f t="shared" si="4"/>
        <v>0</v>
      </c>
      <c r="M80" s="316">
        <f t="shared" si="5"/>
        <v>0</v>
      </c>
      <c r="O80" s="70"/>
      <c r="P80" s="70"/>
      <c r="AG80" s="28"/>
      <c r="AH80" s="27" t="s">
        <v>31</v>
      </c>
      <c r="AI80" s="27" t="s">
        <v>148</v>
      </c>
      <c r="AJ80" s="32" t="s">
        <v>73</v>
      </c>
      <c r="AL80" s="27"/>
    </row>
    <row r="81" spans="1:38" ht="11.1" customHeight="1" thickBot="1">
      <c r="A81" s="26"/>
      <c r="B81" s="58" t="s">
        <v>90</v>
      </c>
      <c r="C81" s="332"/>
      <c r="D81" s="70"/>
      <c r="E81" s="357"/>
      <c r="F81" s="363"/>
      <c r="G81" s="368">
        <f t="shared" si="6"/>
        <v>0</v>
      </c>
      <c r="H81" s="95">
        <v>107</v>
      </c>
      <c r="I81" s="126">
        <f>H81/I45</f>
        <v>0.24768518518518517</v>
      </c>
      <c r="J81" s="101">
        <f t="shared" si="3"/>
        <v>0</v>
      </c>
      <c r="K81" s="376"/>
      <c r="L81" s="377">
        <f t="shared" si="4"/>
        <v>0</v>
      </c>
      <c r="M81" s="316">
        <f t="shared" si="5"/>
        <v>0</v>
      </c>
      <c r="O81" s="70"/>
      <c r="P81" s="70"/>
      <c r="AG81" s="28" t="s">
        <v>143</v>
      </c>
      <c r="AH81" s="47">
        <f>T65*G97</f>
        <v>363935.01136363635</v>
      </c>
      <c r="AI81" s="48">
        <f>G11</f>
        <v>0</v>
      </c>
      <c r="AJ81" s="321">
        <f>AI81+AH81</f>
        <v>363935.01136363635</v>
      </c>
      <c r="AL81" s="27"/>
    </row>
    <row r="82" spans="1:38" ht="11.1" customHeight="1" thickBot="1">
      <c r="A82" s="26"/>
      <c r="B82" s="55"/>
      <c r="C82" s="332"/>
      <c r="D82" s="70"/>
      <c r="E82" s="357"/>
      <c r="F82" s="363"/>
      <c r="G82" s="368">
        <f t="shared" si="6"/>
        <v>0</v>
      </c>
      <c r="H82" s="95"/>
      <c r="I82" s="126">
        <f>H82/I45</f>
        <v>0</v>
      </c>
      <c r="J82" s="101">
        <f t="shared" si="3"/>
        <v>0</v>
      </c>
      <c r="K82" s="376"/>
      <c r="L82" s="377">
        <f t="shared" si="4"/>
        <v>0</v>
      </c>
      <c r="M82" s="316">
        <f t="shared" si="5"/>
        <v>0</v>
      </c>
      <c r="O82" s="70"/>
      <c r="P82" s="70"/>
      <c r="AG82" s="28" t="s">
        <v>161</v>
      </c>
      <c r="AH82" s="47">
        <f>T66*G97</f>
        <v>132806.70454545453</v>
      </c>
      <c r="AI82" s="48">
        <f>G20</f>
        <v>75194.400000000009</v>
      </c>
      <c r="AJ82" s="321">
        <f t="shared" ref="AJ82:AJ84" si="9">AI82+AH82</f>
        <v>208001.10454545455</v>
      </c>
      <c r="AL82" s="27"/>
    </row>
    <row r="83" spans="1:38" ht="11.1" customHeight="1" thickBot="1">
      <c r="A83" s="26"/>
      <c r="B83" s="55" t="s">
        <v>98</v>
      </c>
      <c r="C83" s="332"/>
      <c r="D83" s="70"/>
      <c r="E83" s="357"/>
      <c r="F83" s="363">
        <f t="shared" ref="F83:F93" si="10">E83*C83</f>
        <v>0</v>
      </c>
      <c r="G83" s="368">
        <f t="shared" si="6"/>
        <v>0</v>
      </c>
      <c r="H83" s="95">
        <v>83</v>
      </c>
      <c r="I83" s="126">
        <f>H83/I45</f>
        <v>0.19212962962962962</v>
      </c>
      <c r="J83" s="101">
        <f t="shared" si="3"/>
        <v>0</v>
      </c>
      <c r="K83" s="376"/>
      <c r="L83" s="377">
        <f t="shared" si="4"/>
        <v>0</v>
      </c>
      <c r="M83" s="316">
        <f t="shared" si="5"/>
        <v>0</v>
      </c>
      <c r="O83" s="70"/>
      <c r="P83" s="70"/>
      <c r="AG83" s="28" t="s">
        <v>145</v>
      </c>
      <c r="AH83" s="47">
        <f>T67*G97</f>
        <v>110932.6590909091</v>
      </c>
      <c r="AI83" s="48">
        <f>G20+G29</f>
        <v>145132.6</v>
      </c>
      <c r="AJ83" s="321">
        <f t="shared" si="9"/>
        <v>256065.25909090909</v>
      </c>
      <c r="AL83" s="27"/>
    </row>
    <row r="84" spans="1:38" ht="11.1" customHeight="1" thickBot="1">
      <c r="A84" s="26"/>
      <c r="B84" s="55" t="s">
        <v>91</v>
      </c>
      <c r="C84" s="332"/>
      <c r="D84" s="70"/>
      <c r="E84" s="357">
        <v>8.3000000000000007</v>
      </c>
      <c r="F84" s="363">
        <f t="shared" si="10"/>
        <v>0</v>
      </c>
      <c r="G84" s="368">
        <f t="shared" si="6"/>
        <v>0</v>
      </c>
      <c r="H84" s="95">
        <v>91</v>
      </c>
      <c r="I84" s="126">
        <f>H84/I45</f>
        <v>0.21064814814814814</v>
      </c>
      <c r="J84" s="101">
        <f t="shared" si="3"/>
        <v>0</v>
      </c>
      <c r="K84" s="376"/>
      <c r="L84" s="377">
        <f t="shared" si="4"/>
        <v>0</v>
      </c>
      <c r="M84" s="316">
        <f t="shared" si="5"/>
        <v>0</v>
      </c>
      <c r="O84" s="93"/>
      <c r="P84" s="79"/>
      <c r="AG84" s="28" t="s">
        <v>146</v>
      </c>
      <c r="AH84" s="47">
        <f>T68*G97</f>
        <v>101781.27272727274</v>
      </c>
      <c r="AI84" s="48">
        <f>G20+G29+G37</f>
        <v>209997.80000000002</v>
      </c>
      <c r="AJ84" s="321">
        <f t="shared" si="9"/>
        <v>311779.07272727275</v>
      </c>
      <c r="AL84" s="27"/>
    </row>
    <row r="85" spans="1:38" ht="11.1" customHeight="1" thickBot="1">
      <c r="A85" s="26"/>
      <c r="B85" s="55" t="s">
        <v>8</v>
      </c>
      <c r="C85" s="332"/>
      <c r="D85" s="70"/>
      <c r="E85" s="357"/>
      <c r="F85" s="363">
        <f t="shared" si="10"/>
        <v>0</v>
      </c>
      <c r="G85" s="368">
        <f t="shared" si="6"/>
        <v>0</v>
      </c>
      <c r="H85" s="95">
        <v>89</v>
      </c>
      <c r="I85" s="126">
        <f>H85/I45</f>
        <v>0.20601851851851852</v>
      </c>
      <c r="J85" s="101">
        <f t="shared" si="3"/>
        <v>0</v>
      </c>
      <c r="K85" s="376"/>
      <c r="L85" s="377">
        <f t="shared" si="4"/>
        <v>0</v>
      </c>
      <c r="M85" s="316">
        <f t="shared" si="5"/>
        <v>0</v>
      </c>
      <c r="O85" s="70"/>
      <c r="P85" s="70"/>
      <c r="AG85" s="28"/>
      <c r="AH85" s="31"/>
      <c r="AI85" s="31"/>
      <c r="AJ85" s="321"/>
      <c r="AL85" s="27"/>
    </row>
    <row r="86" spans="1:38" ht="11.1" customHeight="1" thickBot="1">
      <c r="A86" s="26"/>
      <c r="B86" s="58" t="s">
        <v>142</v>
      </c>
      <c r="C86" s="332">
        <v>2.354838709677419</v>
      </c>
      <c r="D86" s="70"/>
      <c r="E86" s="357">
        <v>2</v>
      </c>
      <c r="F86" s="363">
        <f t="shared" si="10"/>
        <v>4.7096774193548381</v>
      </c>
      <c r="G86" s="368">
        <f t="shared" si="6"/>
        <v>58.399999999999991</v>
      </c>
      <c r="H86" s="95">
        <v>24.8</v>
      </c>
      <c r="I86" s="126">
        <f>H86/I45</f>
        <v>5.7407407407407407E-2</v>
      </c>
      <c r="J86" s="101">
        <f t="shared" si="3"/>
        <v>0.13518518518518516</v>
      </c>
      <c r="K86" s="376"/>
      <c r="L86" s="377">
        <f t="shared" si="4"/>
        <v>0</v>
      </c>
      <c r="M86" s="316">
        <f t="shared" si="5"/>
        <v>4.8448626045400234</v>
      </c>
      <c r="O86" s="70"/>
      <c r="P86" s="70"/>
      <c r="S86" s="25" t="s">
        <v>266</v>
      </c>
      <c r="AG86" s="28"/>
      <c r="AH86" s="31"/>
      <c r="AI86" s="31"/>
      <c r="AJ86" s="321"/>
      <c r="AL86" s="27"/>
    </row>
    <row r="87" spans="1:38" ht="11.1" customHeight="1" thickBot="1">
      <c r="A87" s="26"/>
      <c r="B87" s="55" t="s">
        <v>65</v>
      </c>
      <c r="C87" s="332"/>
      <c r="D87" s="70"/>
      <c r="E87" s="357"/>
      <c r="F87" s="363">
        <f t="shared" si="10"/>
        <v>0</v>
      </c>
      <c r="G87" s="368">
        <f t="shared" si="6"/>
        <v>0</v>
      </c>
      <c r="H87" s="95">
        <v>164</v>
      </c>
      <c r="I87" s="126">
        <f>H87/I45</f>
        <v>0.37962962962962965</v>
      </c>
      <c r="J87" s="101">
        <f t="shared" si="3"/>
        <v>0</v>
      </c>
      <c r="K87" s="376">
        <v>42034</v>
      </c>
      <c r="L87" s="377">
        <f t="shared" si="4"/>
        <v>0</v>
      </c>
      <c r="M87" s="316">
        <f t="shared" si="5"/>
        <v>0</v>
      </c>
      <c r="O87" s="70"/>
      <c r="P87" s="70"/>
      <c r="S87" s="20" t="s">
        <v>74</v>
      </c>
      <c r="T87" s="336" t="s">
        <v>323</v>
      </c>
      <c r="U87" s="22"/>
      <c r="V87" s="21"/>
      <c r="AG87" s="46" t="s">
        <v>230</v>
      </c>
      <c r="AH87" s="31"/>
      <c r="AI87" s="31"/>
      <c r="AJ87" s="321"/>
      <c r="AL87" s="27"/>
    </row>
    <row r="88" spans="1:38" ht="11.1" customHeight="1" thickBot="1">
      <c r="A88" s="26"/>
      <c r="B88" s="55" t="s">
        <v>68</v>
      </c>
      <c r="C88" s="332"/>
      <c r="D88" s="70"/>
      <c r="E88" s="357"/>
      <c r="F88" s="363">
        <f t="shared" si="10"/>
        <v>0</v>
      </c>
      <c r="G88" s="368">
        <f t="shared" si="6"/>
        <v>0</v>
      </c>
      <c r="H88" s="95">
        <v>317</v>
      </c>
      <c r="I88" s="126">
        <f>H88/I45</f>
        <v>0.73379629629629628</v>
      </c>
      <c r="J88" s="101">
        <f t="shared" si="3"/>
        <v>0</v>
      </c>
      <c r="K88" s="376"/>
      <c r="L88" s="377">
        <f t="shared" si="4"/>
        <v>0</v>
      </c>
      <c r="M88" s="316">
        <f t="shared" si="5"/>
        <v>0</v>
      </c>
      <c r="O88" s="70"/>
      <c r="P88" s="70"/>
      <c r="S88" s="18"/>
      <c r="T88" s="4"/>
      <c r="U88" s="70" t="s">
        <v>77</v>
      </c>
      <c r="V88" s="91" t="s">
        <v>250</v>
      </c>
      <c r="W88" s="4"/>
      <c r="AG88" s="28"/>
      <c r="AH88" s="31" t="s">
        <v>31</v>
      </c>
      <c r="AI88" s="31" t="s">
        <v>148</v>
      </c>
      <c r="AJ88" s="321" t="s">
        <v>73</v>
      </c>
      <c r="AL88" s="27"/>
    </row>
    <row r="89" spans="1:38" ht="11.1" customHeight="1" thickBot="1">
      <c r="A89" s="26"/>
      <c r="B89" s="55" t="s">
        <v>66</v>
      </c>
      <c r="C89" s="332"/>
      <c r="D89" s="70"/>
      <c r="E89" s="357"/>
      <c r="F89" s="363">
        <f t="shared" si="10"/>
        <v>0</v>
      </c>
      <c r="G89" s="368">
        <f t="shared" si="6"/>
        <v>0</v>
      </c>
      <c r="H89" s="95">
        <v>2355</v>
      </c>
      <c r="I89" s="126">
        <f>H89/I45</f>
        <v>5.4513888888888893</v>
      </c>
      <c r="J89" s="101">
        <f t="shared" si="3"/>
        <v>0</v>
      </c>
      <c r="K89" s="376"/>
      <c r="L89" s="377">
        <f t="shared" si="4"/>
        <v>0</v>
      </c>
      <c r="M89" s="316">
        <f t="shared" si="5"/>
        <v>0</v>
      </c>
      <c r="O89" s="70"/>
      <c r="P89" s="70"/>
      <c r="S89" s="18"/>
      <c r="T89" s="97">
        <f>L98+J98+F98</f>
        <v>4309.388714837658</v>
      </c>
      <c r="U89" s="98">
        <f>T89-L98</f>
        <v>12.031730966690702</v>
      </c>
      <c r="V89" s="337">
        <f>U89-F98</f>
        <v>7.0601851851853263</v>
      </c>
      <c r="W89" s="4"/>
      <c r="AG89" s="28" t="s">
        <v>143</v>
      </c>
      <c r="AH89" s="47">
        <f>AH81/U54</f>
        <v>14557.400454545454</v>
      </c>
      <c r="AI89" s="48">
        <f>AI81/50</f>
        <v>0</v>
      </c>
      <c r="AJ89" s="321">
        <f>AI89+AH89</f>
        <v>14557.400454545454</v>
      </c>
      <c r="AL89" s="27"/>
    </row>
    <row r="90" spans="1:38" ht="11.1" customHeight="1" thickBot="1">
      <c r="A90" s="26"/>
      <c r="B90" s="55" t="s">
        <v>64</v>
      </c>
      <c r="C90" s="332"/>
      <c r="D90" s="70"/>
      <c r="E90" s="357"/>
      <c r="F90" s="363">
        <f t="shared" si="10"/>
        <v>0</v>
      </c>
      <c r="G90" s="368">
        <f t="shared" si="6"/>
        <v>0</v>
      </c>
      <c r="H90" s="95">
        <v>2355</v>
      </c>
      <c r="I90" s="126">
        <f>H90/I45</f>
        <v>5.4513888888888893</v>
      </c>
      <c r="J90" s="101">
        <f t="shared" si="3"/>
        <v>0</v>
      </c>
      <c r="K90" s="376"/>
      <c r="L90" s="377">
        <f t="shared" si="4"/>
        <v>0</v>
      </c>
      <c r="M90" s="316">
        <f t="shared" si="5"/>
        <v>0</v>
      </c>
      <c r="P90" s="70"/>
      <c r="S90" s="18"/>
      <c r="T90" s="4"/>
      <c r="U90" s="70"/>
      <c r="V90" s="91"/>
      <c r="W90" s="4"/>
      <c r="AG90" s="28" t="s">
        <v>144</v>
      </c>
      <c r="AH90" s="47">
        <f>AH82/U54</f>
        <v>5312.2681818181809</v>
      </c>
      <c r="AI90" s="48">
        <f t="shared" ref="AI90:AI92" si="11">AI82/50</f>
        <v>1503.8880000000001</v>
      </c>
      <c r="AJ90" s="321">
        <f t="shared" ref="AJ90:AJ92" si="12">AI90+AH90</f>
        <v>6816.1561818181808</v>
      </c>
      <c r="AL90" s="27"/>
    </row>
    <row r="91" spans="1:38" ht="11.1" customHeight="1" thickBot="1">
      <c r="A91" s="26"/>
      <c r="B91" s="55" t="s">
        <v>13</v>
      </c>
      <c r="C91" s="332">
        <v>5.397849462365591</v>
      </c>
      <c r="D91" s="70" t="s">
        <v>99</v>
      </c>
      <c r="E91" s="357"/>
      <c r="F91" s="363">
        <f t="shared" si="10"/>
        <v>0</v>
      </c>
      <c r="G91" s="368">
        <f t="shared" si="6"/>
        <v>431.8279569892473</v>
      </c>
      <c r="H91" s="95">
        <v>80</v>
      </c>
      <c r="I91" s="126">
        <f>H91/I45</f>
        <v>0.18518518518518517</v>
      </c>
      <c r="J91" s="101">
        <f t="shared" si="3"/>
        <v>0.99960175228992421</v>
      </c>
      <c r="K91" s="376"/>
      <c r="L91" s="377">
        <f t="shared" si="4"/>
        <v>0</v>
      </c>
      <c r="M91" s="316">
        <f t="shared" si="5"/>
        <v>0.99960175228992421</v>
      </c>
      <c r="P91" s="70"/>
      <c r="S91" s="73"/>
      <c r="T91" s="4"/>
      <c r="U91" s="70"/>
      <c r="V91" s="91"/>
      <c r="W91" s="70"/>
      <c r="AG91" s="28" t="s">
        <v>145</v>
      </c>
      <c r="AH91" s="47">
        <f>AH83/U54</f>
        <v>4437.306363636364</v>
      </c>
      <c r="AI91" s="48">
        <f t="shared" si="11"/>
        <v>2902.652</v>
      </c>
      <c r="AJ91" s="321">
        <f t="shared" si="12"/>
        <v>7339.9583636363641</v>
      </c>
      <c r="AL91" s="27"/>
    </row>
    <row r="92" spans="1:38" ht="11.1" customHeight="1" thickBot="1">
      <c r="A92" s="26"/>
      <c r="B92" s="55" t="s">
        <v>6</v>
      </c>
      <c r="C92" s="332">
        <v>2.150537634408602E-2</v>
      </c>
      <c r="D92" s="70"/>
      <c r="E92" s="357">
        <v>1.6149999999999999E-3</v>
      </c>
      <c r="F92" s="363">
        <f t="shared" si="10"/>
        <v>3.4731182795698917E-5</v>
      </c>
      <c r="G92" s="368">
        <f t="shared" si="6"/>
        <v>1.225806451612903</v>
      </c>
      <c r="H92" s="95">
        <v>57</v>
      </c>
      <c r="I92" s="126">
        <f>H92/I45</f>
        <v>0.13194444444444445</v>
      </c>
      <c r="J92" s="101">
        <f t="shared" si="3"/>
        <v>2.8375149342891276E-3</v>
      </c>
      <c r="K92" s="376">
        <v>30845</v>
      </c>
      <c r="L92" s="377">
        <f t="shared" si="4"/>
        <v>663.33333333333326</v>
      </c>
      <c r="M92" s="316">
        <f t="shared" si="5"/>
        <v>663.33620557945039</v>
      </c>
      <c r="O92" s="70"/>
      <c r="P92" s="70"/>
      <c r="S92" s="311" t="s">
        <v>58</v>
      </c>
      <c r="T92" s="4"/>
      <c r="U92" s="4"/>
      <c r="V92" s="19"/>
      <c r="W92" s="25"/>
      <c r="AG92" s="28" t="s">
        <v>146</v>
      </c>
      <c r="AH92" s="47">
        <f>AH84/U54</f>
        <v>4071.2509090909093</v>
      </c>
      <c r="AI92" s="48">
        <f t="shared" si="11"/>
        <v>4199.9560000000001</v>
      </c>
      <c r="AJ92" s="321">
        <f t="shared" si="12"/>
        <v>8271.2069090909099</v>
      </c>
      <c r="AL92" s="27"/>
    </row>
    <row r="93" spans="1:38" ht="11.1" customHeight="1" thickBot="1">
      <c r="A93" s="26"/>
      <c r="B93" s="55" t="s">
        <v>14</v>
      </c>
      <c r="C93" s="332"/>
      <c r="D93" s="70"/>
      <c r="E93" s="357"/>
      <c r="F93" s="363">
        <f t="shared" si="10"/>
        <v>0</v>
      </c>
      <c r="G93" s="368">
        <f t="shared" si="6"/>
        <v>0</v>
      </c>
      <c r="H93" s="95">
        <v>80.5</v>
      </c>
      <c r="I93" s="126">
        <f>H93/I45</f>
        <v>0.18634259259259259</v>
      </c>
      <c r="J93" s="101">
        <f t="shared" si="3"/>
        <v>0</v>
      </c>
      <c r="K93" s="376">
        <v>0</v>
      </c>
      <c r="L93" s="377">
        <f t="shared" si="4"/>
        <v>0</v>
      </c>
      <c r="M93" s="316">
        <f t="shared" si="5"/>
        <v>0</v>
      </c>
      <c r="P93" s="70"/>
      <c r="S93" s="18"/>
      <c r="T93" s="334">
        <f>T89*2/50</f>
        <v>172.37554859350632</v>
      </c>
      <c r="U93" s="335">
        <f>U89*2/50</f>
        <v>0.48126923866762811</v>
      </c>
      <c r="V93" s="338">
        <f>V89*2/50</f>
        <v>0.28240740740741305</v>
      </c>
      <c r="W93" s="25"/>
      <c r="AG93" s="35"/>
      <c r="AH93" s="37"/>
      <c r="AI93" s="37"/>
      <c r="AJ93" s="36"/>
      <c r="AL93" s="27"/>
    </row>
    <row r="94" spans="1:38" ht="11.1" customHeight="1" thickBot="1">
      <c r="A94" s="26"/>
      <c r="B94" s="59"/>
      <c r="C94" s="70"/>
      <c r="D94" s="70"/>
      <c r="E94" s="87"/>
      <c r="F94" s="366"/>
      <c r="G94" s="385"/>
      <c r="H94" s="369"/>
      <c r="I94" s="83"/>
      <c r="J94" s="373"/>
      <c r="K94" s="87"/>
      <c r="L94" s="380"/>
      <c r="M94" s="107"/>
      <c r="S94" s="73"/>
      <c r="T94" s="80"/>
      <c r="U94" s="80"/>
      <c r="V94" s="316"/>
      <c r="W94" s="25"/>
    </row>
    <row r="95" spans="1:38" ht="11.1" customHeight="1">
      <c r="A95" s="26"/>
      <c r="B95" s="139" t="s">
        <v>253</v>
      </c>
      <c r="C95" s="340">
        <f>SUM(C54:C93)</f>
        <v>28.361691397849466</v>
      </c>
      <c r="D95" s="70"/>
      <c r="E95" s="70"/>
      <c r="F95" s="365"/>
      <c r="G95" s="384">
        <f>SUM(G55:G94)</f>
        <v>1289.2576892473119</v>
      </c>
      <c r="H95" s="70"/>
      <c r="I95" s="70" t="s">
        <v>257</v>
      </c>
      <c r="J95" s="372">
        <f>SUM(J55:J94)</f>
        <v>2.9843927991835919</v>
      </c>
      <c r="K95" s="70"/>
      <c r="L95" s="379"/>
      <c r="M95" s="320">
        <f>SUM(M54:M94)</f>
        <v>4305.312922451657</v>
      </c>
      <c r="S95" s="352" t="s">
        <v>254</v>
      </c>
      <c r="T95" s="106"/>
      <c r="U95" s="106"/>
      <c r="V95" s="339"/>
      <c r="W95" s="25"/>
    </row>
    <row r="96" spans="1:38" ht="11.1" customHeight="1">
      <c r="A96" s="26"/>
      <c r="B96" s="353" t="s">
        <v>125</v>
      </c>
      <c r="C96" s="354"/>
      <c r="D96" s="355"/>
      <c r="E96" s="92"/>
      <c r="F96" s="364"/>
      <c r="G96" s="382">
        <f>G97-G95</f>
        <v>1760.7423107526881</v>
      </c>
      <c r="H96" s="346"/>
      <c r="I96" s="347" t="s">
        <v>258</v>
      </c>
      <c r="J96" s="370">
        <f>J97-J95</f>
        <v>4.0757923860015932</v>
      </c>
      <c r="K96" s="70"/>
      <c r="L96" s="378"/>
      <c r="M96" s="316">
        <f>J96</f>
        <v>4.0757923860015932</v>
      </c>
      <c r="U96" s="25"/>
      <c r="V96" s="25"/>
      <c r="W96" s="25"/>
    </row>
    <row r="97" spans="1:52" ht="11.1" customHeight="1" thickBot="1">
      <c r="A97" s="26"/>
      <c r="B97" s="356" t="s">
        <v>126</v>
      </c>
      <c r="C97" s="127" t="s">
        <v>72</v>
      </c>
      <c r="D97" s="92"/>
      <c r="E97" s="92"/>
      <c r="F97" s="364"/>
      <c r="G97" s="383">
        <v>3050</v>
      </c>
      <c r="H97" s="124"/>
      <c r="I97" s="348" t="s">
        <v>259</v>
      </c>
      <c r="J97" s="371">
        <f>G97/I45</f>
        <v>7.0601851851851851</v>
      </c>
      <c r="K97" s="70"/>
      <c r="L97" s="378"/>
      <c r="M97" s="211"/>
    </row>
    <row r="98" spans="1:52" ht="11.1" customHeight="1" thickBot="1">
      <c r="A98" s="26"/>
      <c r="B98" s="342" t="s">
        <v>252</v>
      </c>
      <c r="C98" s="343"/>
      <c r="D98" s="344"/>
      <c r="E98" s="343"/>
      <c r="F98" s="98">
        <f>SUM(F54:F94)</f>
        <v>4.9715457815053758</v>
      </c>
      <c r="G98" s="381"/>
      <c r="H98" s="345"/>
      <c r="I98" s="343"/>
      <c r="J98" s="99">
        <f>J97</f>
        <v>7.0601851851851851</v>
      </c>
      <c r="K98" s="343"/>
      <c r="L98" s="349">
        <f>SUM(L54:L94)</f>
        <v>4297.3569838709673</v>
      </c>
      <c r="M98" s="350">
        <f>M95+M96</f>
        <v>4309.3887148376589</v>
      </c>
    </row>
    <row r="99" spans="1:52" ht="11.1" customHeight="1">
      <c r="A99" s="26"/>
    </row>
    <row r="100" spans="1:52" ht="12" customHeight="1">
      <c r="A100" s="26"/>
      <c r="B100" s="74"/>
      <c r="C100" s="138"/>
      <c r="D100" s="70"/>
      <c r="E100" s="70"/>
      <c r="F100" s="121"/>
      <c r="G100" s="70"/>
      <c r="H100" s="70"/>
      <c r="I100" s="70"/>
      <c r="J100" s="93"/>
      <c r="K100" s="74"/>
      <c r="L100" s="74"/>
      <c r="M100" s="70"/>
    </row>
    <row r="101" spans="1:52" ht="11.25" customHeight="1">
      <c r="A101" s="26"/>
      <c r="B101" s="110"/>
      <c r="C101" s="111"/>
      <c r="D101" s="70"/>
      <c r="E101" s="70"/>
      <c r="F101" s="121"/>
      <c r="G101" s="70"/>
      <c r="H101" s="70"/>
      <c r="I101" s="70"/>
      <c r="J101" s="70"/>
      <c r="K101" s="70"/>
      <c r="L101" s="70"/>
      <c r="M101" s="70"/>
    </row>
    <row r="102" spans="1:52">
      <c r="A102" s="26"/>
      <c r="B102" s="110"/>
      <c r="C102" s="111"/>
      <c r="D102" s="70"/>
      <c r="E102" s="70"/>
      <c r="F102" s="121"/>
      <c r="G102" s="70"/>
      <c r="H102" s="70"/>
      <c r="I102" s="70"/>
      <c r="J102" s="70"/>
      <c r="K102" s="70"/>
      <c r="L102" s="70"/>
      <c r="M102" s="70"/>
      <c r="N102" s="70"/>
      <c r="O102" s="70"/>
      <c r="P102" s="70"/>
      <c r="AG102" s="26"/>
      <c r="AH102" s="60" t="s">
        <v>181</v>
      </c>
      <c r="AI102" s="60" t="s">
        <v>182</v>
      </c>
      <c r="AJ102" s="60" t="s">
        <v>183</v>
      </c>
      <c r="AS102" s="26"/>
    </row>
    <row r="103" spans="1:52">
      <c r="A103" s="26"/>
      <c r="G103" s="112"/>
      <c r="AG103" s="26"/>
      <c r="AH103" s="26"/>
      <c r="AS103" s="26"/>
    </row>
    <row r="104" spans="1:52">
      <c r="A104" s="26"/>
      <c r="D104" s="113"/>
      <c r="G104" s="70"/>
      <c r="AK104" s="4"/>
      <c r="AS104" s="26"/>
      <c r="AT104" s="26"/>
      <c r="AU104" s="26"/>
      <c r="AV104" s="26"/>
      <c r="AW104" s="26"/>
      <c r="AX104" s="26"/>
      <c r="AY104" s="26"/>
      <c r="AZ104" s="26"/>
    </row>
    <row r="105" spans="1:52">
      <c r="A105" s="26"/>
      <c r="AG105" s="4"/>
      <c r="AH105" s="4"/>
      <c r="AI105" s="4"/>
      <c r="AJ105" s="4"/>
      <c r="AK105" s="27"/>
      <c r="AM105" s="26"/>
      <c r="AS105" s="26"/>
      <c r="AT105" s="26"/>
      <c r="AU105" s="26"/>
      <c r="AV105" s="26"/>
      <c r="AW105" s="26"/>
      <c r="AX105" s="26"/>
      <c r="AY105" s="26"/>
      <c r="AZ105" s="26"/>
    </row>
    <row r="106" spans="1:52">
      <c r="A106" s="26"/>
      <c r="AG106" s="242" t="s">
        <v>329</v>
      </c>
      <c r="AH106" s="38"/>
      <c r="AI106" s="38"/>
      <c r="AJ106" s="39"/>
      <c r="AK106" s="27"/>
      <c r="AM106" s="26"/>
      <c r="AS106" s="26"/>
      <c r="AT106" s="26"/>
      <c r="AU106" s="26"/>
      <c r="AV106" s="26"/>
      <c r="AW106" s="26"/>
      <c r="AX106" s="26"/>
      <c r="AY106" s="26"/>
      <c r="AZ106" s="26"/>
    </row>
    <row r="107" spans="1:52">
      <c r="A107" s="26"/>
      <c r="AG107" s="28"/>
      <c r="AH107" s="27" t="s">
        <v>31</v>
      </c>
      <c r="AI107" s="27" t="s">
        <v>148</v>
      </c>
      <c r="AJ107" s="32" t="s">
        <v>186</v>
      </c>
      <c r="AK107" s="27"/>
      <c r="AM107" s="26"/>
      <c r="AS107" s="26"/>
      <c r="AT107" s="26"/>
      <c r="AU107" s="26"/>
      <c r="AV107" s="26"/>
      <c r="AW107" s="26"/>
      <c r="AX107" s="26"/>
      <c r="AY107" s="26"/>
      <c r="AZ107" s="26"/>
    </row>
    <row r="108" spans="1:52">
      <c r="A108" s="26"/>
      <c r="AG108" s="227" t="s">
        <v>143</v>
      </c>
      <c r="AH108" s="228">
        <f>V89*T65+T65</f>
        <v>961.76511047981489</v>
      </c>
      <c r="AI108" s="229">
        <f>X13</f>
        <v>0</v>
      </c>
      <c r="AJ108" s="230">
        <f>AI108+AH108</f>
        <v>961.76511047981489</v>
      </c>
      <c r="AK108" s="27"/>
      <c r="AM108" s="26"/>
      <c r="AS108" s="26"/>
      <c r="AT108" s="26"/>
      <c r="AU108" s="26"/>
      <c r="AV108" s="26"/>
      <c r="AW108" s="26"/>
      <c r="AX108" s="26"/>
      <c r="AY108" s="26"/>
      <c r="AZ108" s="26"/>
    </row>
    <row r="109" spans="1:52">
      <c r="A109" s="26"/>
      <c r="AG109" s="28" t="s">
        <v>144</v>
      </c>
      <c r="AH109" s="45">
        <f>V89*T66+T66</f>
        <v>350.96610900674017</v>
      </c>
      <c r="AI109" s="153">
        <f>X21</f>
        <v>223.21725823045369</v>
      </c>
      <c r="AJ109" s="226">
        <f t="shared" ref="AJ109:AJ111" si="13">AI109+AH109</f>
        <v>574.18336723719381</v>
      </c>
      <c r="AK109" s="27"/>
      <c r="AM109" s="26"/>
      <c r="AS109" s="26"/>
      <c r="AT109" s="26"/>
      <c r="AU109" s="26"/>
      <c r="AV109" s="26"/>
      <c r="AW109" s="26"/>
      <c r="AX109" s="26"/>
      <c r="AY109" s="26"/>
      <c r="AZ109" s="26"/>
    </row>
    <row r="110" spans="1:52">
      <c r="A110" s="26"/>
      <c r="J110" s="114"/>
      <c r="AG110" s="28" t="s">
        <v>145</v>
      </c>
      <c r="AH110" s="45">
        <f>V89*T67+T67</f>
        <v>293.15992634680651</v>
      </c>
      <c r="AI110" s="153">
        <f>X30</f>
        <v>430.83129929698464</v>
      </c>
      <c r="AJ110" s="226">
        <f t="shared" si="13"/>
        <v>723.99122564379115</v>
      </c>
      <c r="AK110" s="27"/>
      <c r="AM110" s="26"/>
      <c r="AS110" s="26"/>
      <c r="AT110" s="26"/>
      <c r="AU110" s="26"/>
      <c r="AV110" s="26"/>
      <c r="AW110" s="26"/>
      <c r="AX110" s="26"/>
      <c r="AY110" s="26"/>
      <c r="AZ110" s="26"/>
    </row>
    <row r="111" spans="1:52">
      <c r="A111" s="26"/>
      <c r="AG111" s="35" t="s">
        <v>146</v>
      </c>
      <c r="AH111" s="231">
        <f>V89*T68+T68</f>
        <v>268.97570707071179</v>
      </c>
      <c r="AI111" s="232">
        <f>X38</f>
        <v>623.38595893347429</v>
      </c>
      <c r="AJ111" s="233">
        <f t="shared" si="13"/>
        <v>892.36166600418608</v>
      </c>
      <c r="AK111" s="27"/>
      <c r="AM111" s="26"/>
      <c r="AS111" s="26"/>
      <c r="AT111" s="26"/>
      <c r="AU111" s="26"/>
      <c r="AV111" s="26"/>
      <c r="AW111" s="26"/>
      <c r="AX111" s="26"/>
      <c r="AY111" s="26"/>
      <c r="AZ111" s="26"/>
    </row>
    <row r="112" spans="1:52">
      <c r="A112" s="26"/>
      <c r="AG112" s="28"/>
      <c r="AH112" s="27"/>
      <c r="AI112" s="27"/>
      <c r="AJ112" s="32"/>
      <c r="AK112" s="27"/>
      <c r="AM112" s="26"/>
      <c r="AS112" s="26"/>
      <c r="AT112" s="26"/>
      <c r="AU112" s="26"/>
      <c r="AV112" s="26"/>
      <c r="AW112" s="26"/>
      <c r="AX112" s="26"/>
      <c r="AY112" s="26"/>
      <c r="AZ112" s="26"/>
    </row>
    <row r="113" spans="1:52">
      <c r="A113" s="26"/>
      <c r="AG113" s="28"/>
      <c r="AH113" s="27"/>
      <c r="AI113" s="27"/>
      <c r="AJ113" s="32"/>
      <c r="AK113" s="27"/>
      <c r="AM113" s="26"/>
      <c r="AS113" s="26"/>
      <c r="AT113" s="26"/>
      <c r="AU113" s="26"/>
      <c r="AV113" s="26"/>
      <c r="AW113" s="26"/>
      <c r="AX113" s="26"/>
      <c r="AY113" s="26"/>
      <c r="AZ113" s="26"/>
    </row>
    <row r="114" spans="1:52">
      <c r="A114" s="26"/>
      <c r="AG114" s="225" t="s">
        <v>231</v>
      </c>
      <c r="AH114" s="27"/>
      <c r="AI114" s="27"/>
      <c r="AJ114" s="32"/>
      <c r="AK114" s="27"/>
      <c r="AM114" s="26"/>
      <c r="AS114" s="26"/>
      <c r="AT114" s="26"/>
      <c r="AU114" s="26"/>
      <c r="AV114" s="26"/>
      <c r="AW114" s="26"/>
      <c r="AX114" s="26"/>
      <c r="AY114" s="26"/>
      <c r="AZ114" s="26"/>
    </row>
    <row r="115" spans="1:52">
      <c r="A115" s="26"/>
      <c r="AG115" s="28"/>
      <c r="AH115" s="27" t="s">
        <v>31</v>
      </c>
      <c r="AI115" s="27" t="s">
        <v>148</v>
      </c>
      <c r="AJ115" s="32" t="s">
        <v>186</v>
      </c>
      <c r="AK115" s="27"/>
      <c r="AM115" s="26"/>
      <c r="AR115" s="26"/>
      <c r="AS115" s="26"/>
      <c r="AT115" s="26"/>
      <c r="AU115" s="26"/>
      <c r="AV115" s="26"/>
      <c r="AW115" s="26"/>
      <c r="AX115" s="26"/>
      <c r="AY115" s="26"/>
      <c r="AZ115" s="26"/>
    </row>
    <row r="116" spans="1:52">
      <c r="A116" s="26"/>
      <c r="AG116" s="227" t="s">
        <v>143</v>
      </c>
      <c r="AH116" s="228">
        <f>V89*T65/25+T65</f>
        <v>153.02064078282896</v>
      </c>
      <c r="AI116" s="234">
        <f>AE11</f>
        <v>0</v>
      </c>
      <c r="AJ116" s="230">
        <f>AI116+AH116</f>
        <v>153.02064078282896</v>
      </c>
      <c r="AK116" s="27"/>
      <c r="AM116" s="26"/>
      <c r="AR116" s="26"/>
      <c r="AS116" s="26"/>
      <c r="AT116" s="26"/>
      <c r="AU116" s="26"/>
      <c r="AV116" s="26"/>
      <c r="AW116" s="26"/>
      <c r="AX116" s="26"/>
      <c r="AY116" s="26"/>
      <c r="AZ116" s="26"/>
    </row>
    <row r="117" spans="1:52">
      <c r="A117" s="26"/>
      <c r="B117" s="120"/>
      <c r="F117" s="25"/>
      <c r="AG117" s="28" t="s">
        <v>144</v>
      </c>
      <c r="AH117" s="45">
        <f>V89*T66/U54+T66</f>
        <v>55.840098905724147</v>
      </c>
      <c r="AI117" s="149">
        <f>AE13</f>
        <v>4.4643451646090737</v>
      </c>
      <c r="AJ117" s="226">
        <f t="shared" ref="AJ117:AJ119" si="14">AI117+AH117</f>
        <v>60.304444070333219</v>
      </c>
      <c r="AK117" s="27"/>
      <c r="AM117" s="26"/>
      <c r="AR117" s="26"/>
      <c r="AS117" s="26"/>
      <c r="AT117" s="26"/>
      <c r="AU117" s="26"/>
      <c r="AV117" s="26"/>
      <c r="AW117" s="26"/>
      <c r="AX117" s="26"/>
      <c r="AY117" s="26"/>
      <c r="AZ117" s="26"/>
    </row>
    <row r="118" spans="1:52">
      <c r="A118" s="26"/>
      <c r="C118" s="120"/>
      <c r="F118" s="25"/>
      <c r="AG118" s="28" t="s">
        <v>145</v>
      </c>
      <c r="AH118" s="45">
        <f>V89*T67/U54+T67</f>
        <v>46.642906144781357</v>
      </c>
      <c r="AI118" s="149">
        <f>AE15</f>
        <v>8.6166259859396934</v>
      </c>
      <c r="AJ118" s="226">
        <f t="shared" si="14"/>
        <v>55.259532130721048</v>
      </c>
      <c r="AK118" s="27"/>
      <c r="AM118" s="26"/>
      <c r="AR118" s="26"/>
      <c r="AS118" s="26"/>
      <c r="AT118" s="26"/>
      <c r="AU118" s="26"/>
      <c r="AV118" s="26"/>
      <c r="AW118" s="26"/>
      <c r="AX118" s="26"/>
      <c r="AY118" s="26"/>
      <c r="AZ118" s="26"/>
    </row>
    <row r="119" spans="1:52">
      <c r="A119" s="26"/>
      <c r="D119" s="120"/>
      <c r="F119" s="25"/>
      <c r="AG119" s="35" t="s">
        <v>146</v>
      </c>
      <c r="AH119" s="231">
        <f>V89*T68/U54+T68</f>
        <v>42.795101010101206</v>
      </c>
      <c r="AI119" s="235">
        <f>AE17</f>
        <v>12.467719178669485</v>
      </c>
      <c r="AJ119" s="233">
        <f t="shared" si="14"/>
        <v>55.262820188770689</v>
      </c>
      <c r="AK119" s="27"/>
      <c r="AM119" s="26"/>
      <c r="AR119" s="26"/>
      <c r="AS119" s="26"/>
      <c r="AT119" s="26"/>
      <c r="AU119" s="26"/>
      <c r="AV119" s="26"/>
      <c r="AW119" s="26"/>
      <c r="AX119" s="26"/>
      <c r="AY119" s="26"/>
      <c r="AZ119" s="26"/>
    </row>
    <row r="120" spans="1:52">
      <c r="A120" s="26"/>
      <c r="F120" s="25"/>
      <c r="AG120" s="35"/>
      <c r="AH120" s="37"/>
      <c r="AI120" s="37"/>
      <c r="AJ120" s="36"/>
      <c r="AR120" s="26"/>
      <c r="AS120" s="26"/>
      <c r="AT120" s="26"/>
      <c r="AU120" s="26"/>
      <c r="AV120" s="26"/>
      <c r="AW120" s="26"/>
      <c r="AX120" s="26"/>
      <c r="AY120" s="26"/>
      <c r="AZ120" s="26"/>
    </row>
    <row r="121" spans="1:52">
      <c r="A121" s="26"/>
      <c r="E121" s="120"/>
      <c r="F121" s="25"/>
      <c r="AG121" s="26"/>
      <c r="AH121" s="26"/>
      <c r="AL121" s="26"/>
      <c r="AM121" s="26"/>
      <c r="AP121" s="26"/>
      <c r="AQ121" s="26"/>
      <c r="AR121" s="26"/>
      <c r="AS121" s="26"/>
      <c r="AT121" s="26"/>
      <c r="AU121" s="26"/>
      <c r="AV121" s="26"/>
      <c r="AW121" s="26"/>
      <c r="AX121" s="26"/>
      <c r="AY121" s="26"/>
      <c r="AZ121" s="26"/>
    </row>
    <row r="122" spans="1:52">
      <c r="A122" s="26"/>
      <c r="AG122" s="26"/>
      <c r="AH122" s="26"/>
      <c r="AL122" s="26"/>
      <c r="AM122" s="26"/>
      <c r="AP122" s="26"/>
      <c r="AQ122" s="26"/>
      <c r="AR122" s="26"/>
      <c r="AS122" s="26"/>
      <c r="AT122" s="26"/>
      <c r="AU122" s="26"/>
      <c r="AV122" s="26"/>
      <c r="AW122" s="26"/>
      <c r="AX122" s="26"/>
      <c r="AY122" s="26"/>
      <c r="AZ122" s="26"/>
    </row>
    <row r="123" spans="1:52">
      <c r="A123" s="26"/>
      <c r="B123" s="74"/>
      <c r="C123" s="74"/>
      <c r="D123" s="74"/>
      <c r="E123" s="74"/>
      <c r="F123" s="89"/>
      <c r="G123" s="74"/>
      <c r="H123" s="74"/>
      <c r="I123" s="74"/>
      <c r="J123" s="74"/>
      <c r="K123" s="74"/>
      <c r="AG123" s="26"/>
      <c r="AH123" s="26"/>
      <c r="AR123" s="26"/>
      <c r="AS123" s="26"/>
      <c r="AT123" s="26"/>
      <c r="AU123" s="26"/>
      <c r="AV123" s="26"/>
      <c r="AW123" s="26"/>
      <c r="AX123" s="26"/>
      <c r="AY123" s="26"/>
      <c r="AZ123" s="26"/>
    </row>
    <row r="124" spans="1:52">
      <c r="A124" s="26"/>
      <c r="B124" s="74"/>
      <c r="C124" s="74"/>
      <c r="D124" s="74"/>
      <c r="E124" s="74"/>
      <c r="F124" s="89"/>
      <c r="G124" s="74"/>
      <c r="H124" s="74"/>
      <c r="I124" s="74"/>
      <c r="J124" s="74"/>
      <c r="K124" s="74"/>
      <c r="AG124" s="40" t="s">
        <v>330</v>
      </c>
      <c r="AH124" s="38"/>
      <c r="AI124" s="38"/>
      <c r="AJ124" s="39"/>
      <c r="AR124" s="26"/>
      <c r="AS124" s="26"/>
      <c r="AT124" s="26"/>
      <c r="AU124" s="26"/>
      <c r="AV124" s="26"/>
      <c r="AW124" s="26"/>
      <c r="AX124" s="26"/>
      <c r="AY124" s="26"/>
      <c r="AZ124" s="26"/>
    </row>
    <row r="125" spans="1:52">
      <c r="A125" s="26"/>
      <c r="B125" s="74"/>
      <c r="C125" s="74"/>
      <c r="D125" s="74"/>
      <c r="E125" s="74"/>
      <c r="F125" s="89"/>
      <c r="G125" s="74"/>
      <c r="H125" s="74"/>
      <c r="I125" s="74"/>
      <c r="J125" s="74"/>
      <c r="K125" s="74"/>
      <c r="AG125" s="28"/>
      <c r="AH125" s="27" t="s">
        <v>31</v>
      </c>
      <c r="AI125" s="27" t="s">
        <v>148</v>
      </c>
      <c r="AJ125" s="32" t="s">
        <v>44</v>
      </c>
      <c r="AR125" s="26"/>
      <c r="AS125" s="26"/>
      <c r="AT125" s="26"/>
      <c r="AU125" s="26"/>
      <c r="AV125" s="26"/>
      <c r="AW125" s="26"/>
      <c r="AX125" s="26"/>
      <c r="AY125" s="26"/>
      <c r="AZ125" s="26"/>
    </row>
    <row r="126" spans="1:52">
      <c r="A126" s="26"/>
      <c r="B126" s="74"/>
      <c r="C126" s="74"/>
      <c r="D126" s="74"/>
      <c r="E126" s="74"/>
      <c r="F126" s="89"/>
      <c r="G126" s="74"/>
      <c r="H126" s="74"/>
      <c r="I126" s="74"/>
      <c r="J126" s="74"/>
      <c r="K126" s="74"/>
      <c r="AG126" s="227" t="s">
        <v>143</v>
      </c>
      <c r="AH126" s="238">
        <f>U89*T65+T65</f>
        <v>1554.9846417870272</v>
      </c>
      <c r="AI126" s="239">
        <f>V13</f>
        <v>0</v>
      </c>
      <c r="AJ126" s="230">
        <f>AH126+AI126</f>
        <v>1554.9846417870272</v>
      </c>
      <c r="AR126" s="26"/>
      <c r="AS126" s="26"/>
      <c r="AT126" s="26"/>
      <c r="AU126" s="26"/>
      <c r="AV126" s="26"/>
      <c r="AW126" s="26"/>
      <c r="AX126" s="26"/>
      <c r="AY126" s="26"/>
      <c r="AZ126" s="26"/>
    </row>
    <row r="127" spans="1:52">
      <c r="A127" s="26"/>
      <c r="B127" s="74"/>
      <c r="C127" s="88"/>
      <c r="D127" s="74"/>
      <c r="E127" s="74"/>
      <c r="F127" s="89"/>
      <c r="G127" s="74"/>
      <c r="H127" s="74"/>
      <c r="I127" s="74"/>
      <c r="J127" s="74"/>
      <c r="K127" s="74"/>
      <c r="AG127" s="28" t="s">
        <v>144</v>
      </c>
      <c r="AH127" s="41">
        <f>U89*T66+T66</f>
        <v>567.44303088824347</v>
      </c>
      <c r="AI127" s="152">
        <f>V21</f>
        <v>7525.8313695371971</v>
      </c>
      <c r="AJ127" s="226">
        <f t="shared" ref="AJ127:AJ129" si="15">AH127+AI127</f>
        <v>8093.2744004254409</v>
      </c>
      <c r="AL127" s="27"/>
      <c r="AR127" s="26"/>
      <c r="AS127" s="26"/>
      <c r="AT127" s="26"/>
      <c r="AU127" s="26"/>
      <c r="AV127" s="26"/>
      <c r="AW127" s="26"/>
      <c r="AX127" s="26"/>
      <c r="AY127" s="26"/>
      <c r="AZ127" s="26"/>
    </row>
    <row r="128" spans="1:52">
      <c r="A128" s="26"/>
      <c r="B128" s="74"/>
      <c r="C128" s="115"/>
      <c r="D128" s="74"/>
      <c r="E128" s="74"/>
      <c r="F128" s="89"/>
      <c r="G128" s="74"/>
      <c r="H128" s="74"/>
      <c r="I128" s="74"/>
      <c r="J128" s="74"/>
      <c r="K128" s="74"/>
      <c r="AG128" s="28" t="s">
        <v>145</v>
      </c>
      <c r="AH128" s="41">
        <f>U89*T67+T67</f>
        <v>473.98182580076821</v>
      </c>
      <c r="AI128" s="152">
        <f>V30</f>
        <v>13887.826944231143</v>
      </c>
      <c r="AJ128" s="226">
        <f t="shared" si="15"/>
        <v>14361.808770031912</v>
      </c>
      <c r="AL128" s="27"/>
      <c r="AR128" s="26"/>
      <c r="AS128" s="26"/>
      <c r="AT128" s="26"/>
      <c r="AU128" s="26"/>
      <c r="AV128" s="26"/>
      <c r="AW128" s="26"/>
      <c r="AX128" s="26"/>
      <c r="AY128" s="26"/>
      <c r="AZ128" s="26"/>
    </row>
    <row r="129" spans="1:52">
      <c r="A129" s="26"/>
      <c r="B129" s="74"/>
      <c r="C129" s="74"/>
      <c r="D129" s="74"/>
      <c r="E129" s="74"/>
      <c r="F129" s="89"/>
      <c r="G129" s="74"/>
      <c r="H129" s="74"/>
      <c r="I129" s="74"/>
      <c r="J129" s="74"/>
      <c r="K129" s="74"/>
      <c r="AG129" s="35" t="s">
        <v>146</v>
      </c>
      <c r="AH129" s="236">
        <f>U89*T68+T68</f>
        <v>434.88070938662031</v>
      </c>
      <c r="AI129" s="240">
        <f>V38</f>
        <v>21000.24089196268</v>
      </c>
      <c r="AJ129" s="233">
        <f t="shared" si="15"/>
        <v>21435.121601349299</v>
      </c>
      <c r="AL129" s="27"/>
      <c r="AR129" s="26"/>
      <c r="AS129" s="26"/>
      <c r="AT129" s="26"/>
      <c r="AU129" s="26"/>
      <c r="AV129" s="26"/>
      <c r="AW129" s="26"/>
      <c r="AX129" s="26"/>
      <c r="AY129" s="26"/>
      <c r="AZ129" s="26"/>
    </row>
    <row r="130" spans="1:52">
      <c r="A130" s="26"/>
      <c r="B130" s="74"/>
      <c r="C130" s="74"/>
      <c r="D130" s="74"/>
      <c r="E130" s="74"/>
      <c r="F130" s="89"/>
      <c r="G130" s="74"/>
      <c r="H130" s="74"/>
      <c r="I130" s="74"/>
      <c r="J130" s="74"/>
      <c r="K130" s="74"/>
      <c r="AG130" s="28"/>
      <c r="AH130" s="27"/>
      <c r="AI130" s="27"/>
      <c r="AJ130" s="32"/>
      <c r="AL130" s="27"/>
      <c r="AR130" s="26"/>
      <c r="AS130" s="26"/>
      <c r="AT130" s="26"/>
      <c r="AU130" s="26"/>
      <c r="AV130" s="26"/>
      <c r="AW130" s="26"/>
      <c r="AX130" s="26"/>
      <c r="AY130" s="26"/>
      <c r="AZ130" s="26"/>
    </row>
    <row r="131" spans="1:52">
      <c r="A131" s="26"/>
      <c r="B131" s="74"/>
      <c r="C131" s="74"/>
      <c r="D131" s="194"/>
      <c r="E131" s="74"/>
      <c r="F131" s="89"/>
      <c r="G131" s="74"/>
      <c r="H131" s="74"/>
      <c r="I131" s="74"/>
      <c r="J131" s="74"/>
      <c r="K131" s="74"/>
      <c r="AG131" s="42" t="s">
        <v>232</v>
      </c>
      <c r="AH131" s="27"/>
      <c r="AI131" s="27"/>
      <c r="AJ131" s="32"/>
      <c r="AL131" s="27"/>
      <c r="AR131" s="26"/>
      <c r="AS131" s="26"/>
      <c r="AT131" s="26"/>
      <c r="AU131" s="26"/>
      <c r="AV131" s="26"/>
      <c r="AW131" s="26"/>
      <c r="AX131" s="26"/>
      <c r="AY131" s="26"/>
      <c r="AZ131" s="26"/>
    </row>
    <row r="132" spans="1:52">
      <c r="A132" s="26"/>
      <c r="B132" s="100"/>
      <c r="C132" s="79"/>
      <c r="D132" s="79"/>
      <c r="E132" s="74"/>
      <c r="F132" s="89"/>
      <c r="G132" s="74"/>
      <c r="H132" s="74"/>
      <c r="I132" s="74"/>
      <c r="J132" s="74"/>
      <c r="K132" s="74"/>
      <c r="AG132" s="28"/>
      <c r="AH132" s="27" t="s">
        <v>46</v>
      </c>
      <c r="AI132" s="27" t="s">
        <v>47</v>
      </c>
      <c r="AJ132" s="32"/>
      <c r="AL132" s="27"/>
      <c r="AR132" s="26"/>
      <c r="AS132" s="26"/>
      <c r="AT132" s="26"/>
      <c r="AU132" s="26"/>
      <c r="AV132" s="26"/>
      <c r="AW132" s="26"/>
      <c r="AX132" s="26"/>
      <c r="AY132" s="26"/>
      <c r="AZ132" s="26"/>
    </row>
    <row r="133" spans="1:52">
      <c r="A133" s="26"/>
      <c r="B133" s="100"/>
      <c r="C133" s="79"/>
      <c r="D133" s="79"/>
      <c r="E133" s="74"/>
      <c r="F133" s="89"/>
      <c r="G133" s="74"/>
      <c r="H133" s="74"/>
      <c r="I133" s="74"/>
      <c r="J133" s="74"/>
      <c r="K133" s="74"/>
      <c r="AG133" s="28"/>
      <c r="AH133" s="27" t="s">
        <v>31</v>
      </c>
      <c r="AI133" s="27" t="s">
        <v>148</v>
      </c>
      <c r="AJ133" s="32" t="s">
        <v>36</v>
      </c>
      <c r="AL133" s="27"/>
      <c r="AR133" s="26"/>
      <c r="AS133" s="26"/>
      <c r="AT133" s="26"/>
      <c r="AU133" s="26"/>
      <c r="AV133" s="26"/>
      <c r="AW133" s="26"/>
      <c r="AX133" s="26"/>
      <c r="AY133" s="26"/>
      <c r="AZ133" s="26"/>
    </row>
    <row r="134" spans="1:52">
      <c r="A134" s="26"/>
      <c r="B134" s="100"/>
      <c r="C134" s="79"/>
      <c r="D134" s="79"/>
      <c r="E134" s="74"/>
      <c r="F134" s="89"/>
      <c r="G134" s="74"/>
      <c r="H134" s="74"/>
      <c r="I134" s="74"/>
      <c r="J134" s="74"/>
      <c r="K134" s="74"/>
      <c r="AG134" s="227" t="s">
        <v>143</v>
      </c>
      <c r="AH134" s="238">
        <f>(U89*T65/U54+T65)</f>
        <v>176.74942203511745</v>
      </c>
      <c r="AI134" s="241">
        <f>AA11</f>
        <v>0</v>
      </c>
      <c r="AJ134" s="230">
        <f>AI134+AH134</f>
        <v>176.74942203511745</v>
      </c>
      <c r="AL134" s="27"/>
      <c r="AR134" s="26"/>
      <c r="AS134" s="26"/>
      <c r="AT134" s="26"/>
      <c r="AU134" s="26"/>
      <c r="AV134" s="26"/>
      <c r="AW134" s="26"/>
      <c r="AX134" s="26"/>
      <c r="AY134" s="26"/>
      <c r="AZ134" s="26"/>
    </row>
    <row r="135" spans="1:52">
      <c r="A135" s="26"/>
      <c r="B135" s="100"/>
      <c r="C135" s="79"/>
      <c r="D135" s="79"/>
      <c r="E135" s="74"/>
      <c r="F135" s="89"/>
      <c r="G135" s="74"/>
      <c r="H135" s="74"/>
      <c r="I135" s="74"/>
      <c r="J135" s="74"/>
      <c r="K135" s="74"/>
      <c r="AG135" s="28" t="s">
        <v>144</v>
      </c>
      <c r="AH135" s="41">
        <f>U89*T66/U54+T66</f>
        <v>64.499175780984274</v>
      </c>
      <c r="AI135" s="150">
        <f>AD13</f>
        <v>150.51662739074393</v>
      </c>
      <c r="AJ135" s="226">
        <f t="shared" ref="AJ135:AJ137" si="16">AI135+AH135</f>
        <v>215.01580317172821</v>
      </c>
      <c r="AL135" s="27"/>
      <c r="AR135" s="26"/>
      <c r="AS135" s="26"/>
      <c r="AT135" s="26"/>
      <c r="AU135" s="26"/>
      <c r="AV135" s="26"/>
      <c r="AW135" s="26"/>
      <c r="AX135" s="26"/>
      <c r="AY135" s="26"/>
      <c r="AZ135" s="26"/>
    </row>
    <row r="136" spans="1:52">
      <c r="A136" s="26"/>
      <c r="B136" s="79"/>
      <c r="C136" s="79"/>
      <c r="D136" s="79"/>
      <c r="E136" s="79"/>
      <c r="F136" s="89"/>
      <c r="G136" s="74"/>
      <c r="H136" s="74"/>
      <c r="I136" s="74"/>
      <c r="J136" s="74"/>
      <c r="K136" s="74"/>
      <c r="AG136" s="28" t="s">
        <v>145</v>
      </c>
      <c r="AH136" s="41">
        <f>U89*T67/U54+T67</f>
        <v>53.875782122939825</v>
      </c>
      <c r="AI136" s="150">
        <f>AD15</f>
        <v>277.75653888462284</v>
      </c>
      <c r="AJ136" s="226">
        <f t="shared" si="16"/>
        <v>331.63232100756267</v>
      </c>
      <c r="AL136" s="27"/>
      <c r="AR136" s="26"/>
      <c r="AS136" s="26"/>
      <c r="AT136" s="26"/>
      <c r="AU136" s="26"/>
      <c r="AV136" s="26"/>
      <c r="AW136" s="26"/>
      <c r="AX136" s="26"/>
      <c r="AY136" s="26"/>
      <c r="AZ136" s="26"/>
    </row>
    <row r="137" spans="1:52">
      <c r="A137" s="26"/>
      <c r="B137" s="79"/>
      <c r="C137" s="79"/>
      <c r="D137" s="79"/>
      <c r="E137" s="79"/>
      <c r="F137" s="89"/>
      <c r="G137" s="74"/>
      <c r="H137" s="74"/>
      <c r="I137" s="74"/>
      <c r="J137" s="74"/>
      <c r="K137" s="74"/>
      <c r="AG137" s="35" t="s">
        <v>146</v>
      </c>
      <c r="AH137" s="236">
        <f>U89*T68/U54+T68</f>
        <v>49.431301102737542</v>
      </c>
      <c r="AI137" s="237">
        <f>AD17</f>
        <v>420.00481783925358</v>
      </c>
      <c r="AJ137" s="233">
        <f t="shared" si="16"/>
        <v>469.43611894199114</v>
      </c>
      <c r="AL137" s="27"/>
      <c r="AR137" s="26"/>
      <c r="AS137" s="26"/>
      <c r="AT137" s="26"/>
      <c r="AU137" s="26"/>
      <c r="AV137" s="26"/>
      <c r="AW137" s="26"/>
      <c r="AX137" s="26"/>
      <c r="AY137" s="26"/>
      <c r="AZ137" s="26"/>
    </row>
    <row r="138" spans="1:52">
      <c r="A138" s="26"/>
      <c r="AG138" s="28"/>
      <c r="AL138" s="27"/>
      <c r="AR138" s="26"/>
      <c r="AS138" s="26"/>
      <c r="AT138" s="26"/>
      <c r="AU138" s="26"/>
      <c r="AV138" s="26"/>
      <c r="AW138" s="26"/>
      <c r="AX138" s="26"/>
      <c r="AY138" s="26"/>
      <c r="AZ138" s="26"/>
    </row>
    <row r="139" spans="1:52">
      <c r="A139" s="26"/>
      <c r="AG139" s="28"/>
      <c r="AL139" s="27"/>
      <c r="AR139" s="26"/>
      <c r="AS139" s="26"/>
      <c r="AT139" s="26"/>
      <c r="AU139" s="26"/>
      <c r="AV139" s="26"/>
      <c r="AW139" s="26"/>
      <c r="AX139" s="26"/>
      <c r="AY139" s="26"/>
      <c r="AZ139" s="26"/>
    </row>
    <row r="140" spans="1:52">
      <c r="A140" s="26"/>
      <c r="AG140" s="28"/>
      <c r="AL140" s="27"/>
      <c r="AR140" s="26"/>
      <c r="AS140" s="26"/>
      <c r="AT140" s="26"/>
      <c r="AU140" s="26"/>
      <c r="AV140" s="26"/>
      <c r="AW140" s="26"/>
      <c r="AX140" s="26"/>
      <c r="AY140" s="26"/>
      <c r="AZ140" s="26"/>
    </row>
    <row r="141" spans="1:52">
      <c r="A141" s="26"/>
      <c r="AG141" s="26"/>
      <c r="AH141" s="26"/>
      <c r="AI141" s="26"/>
      <c r="AJ141" s="26"/>
      <c r="AK141" s="26"/>
      <c r="AL141" s="26"/>
      <c r="AM141" s="26"/>
      <c r="AN141" s="26"/>
      <c r="AO141" s="26"/>
      <c r="AP141" s="26"/>
      <c r="AQ141" s="26"/>
      <c r="AR141" s="26"/>
      <c r="AS141" s="26"/>
      <c r="AT141" s="26"/>
      <c r="AU141" s="26"/>
      <c r="AV141" s="26"/>
      <c r="AW141" s="26"/>
      <c r="AX141" s="26"/>
      <c r="AY141" s="26"/>
      <c r="AZ141" s="26"/>
    </row>
    <row r="142" spans="1:52">
      <c r="A142" s="26"/>
      <c r="AG142" s="26"/>
      <c r="AH142" s="26"/>
      <c r="AL142" s="26"/>
      <c r="AM142" s="26"/>
      <c r="AN142" s="26"/>
      <c r="AO142" s="26"/>
      <c r="AP142" s="26"/>
      <c r="AQ142" s="26"/>
      <c r="AR142" s="26"/>
      <c r="AS142" s="26"/>
      <c r="AT142" s="27"/>
      <c r="AU142" s="26"/>
      <c r="AV142" s="26"/>
      <c r="AW142" s="26"/>
      <c r="AX142" s="26"/>
      <c r="AY142" s="26"/>
      <c r="AZ142" s="26"/>
    </row>
    <row r="143" spans="1:52">
      <c r="A143" s="26"/>
      <c r="AG143" s="26"/>
      <c r="AH143" s="26"/>
      <c r="AL143" s="34"/>
      <c r="AM143" s="30"/>
      <c r="AN143" s="30"/>
      <c r="AO143" s="30"/>
      <c r="AP143" s="29"/>
      <c r="AQ143" s="30"/>
      <c r="AR143" s="31"/>
      <c r="AS143" s="26"/>
      <c r="AT143" s="26"/>
      <c r="AU143" s="26"/>
      <c r="AV143" s="26"/>
      <c r="AW143" s="26"/>
      <c r="AX143" s="26"/>
      <c r="AY143" s="26"/>
      <c r="AZ143" s="26"/>
    </row>
    <row r="144" spans="1:52">
      <c r="A144" s="26"/>
      <c r="AG144" s="40" t="s">
        <v>234</v>
      </c>
      <c r="AH144" s="22" t="s">
        <v>331</v>
      </c>
      <c r="AI144" s="43"/>
      <c r="AJ144" s="39"/>
      <c r="AL144" s="34"/>
      <c r="AM144" s="30"/>
      <c r="AN144" s="30"/>
      <c r="AO144" s="30"/>
      <c r="AP144" s="29"/>
      <c r="AQ144" s="30"/>
      <c r="AR144" s="31"/>
      <c r="AS144" s="26"/>
      <c r="AT144" s="26"/>
      <c r="AU144" s="26"/>
      <c r="AV144" s="26"/>
      <c r="AW144" s="26"/>
      <c r="AX144" s="26"/>
      <c r="AY144" s="26"/>
      <c r="AZ144" s="26"/>
    </row>
    <row r="145" spans="1:53">
      <c r="A145" s="26"/>
      <c r="AG145" s="28"/>
      <c r="AH145" s="27" t="s">
        <v>184</v>
      </c>
      <c r="AI145" s="27"/>
      <c r="AJ145" s="32" t="s">
        <v>185</v>
      </c>
      <c r="AL145" s="34"/>
      <c r="AM145" s="30"/>
      <c r="AN145" s="30"/>
      <c r="AO145" s="30"/>
      <c r="AP145" s="29"/>
      <c r="AQ145" s="30"/>
      <c r="AR145" s="31"/>
      <c r="AS145" s="26"/>
      <c r="AT145" s="26"/>
      <c r="AU145" s="26"/>
      <c r="AV145" s="26"/>
      <c r="AW145" s="26"/>
      <c r="AX145" s="26"/>
      <c r="AY145" s="26"/>
      <c r="AZ145" s="26"/>
    </row>
    <row r="146" spans="1:53">
      <c r="A146" s="26"/>
      <c r="AG146" s="28"/>
      <c r="AH146" s="27" t="s">
        <v>43</v>
      </c>
      <c r="AI146" s="27" t="s">
        <v>187</v>
      </c>
      <c r="AJ146" s="32" t="s">
        <v>186</v>
      </c>
      <c r="AL146" s="34"/>
      <c r="AM146" s="30"/>
      <c r="AN146" s="30"/>
      <c r="AO146" s="30"/>
      <c r="AP146" s="29"/>
      <c r="AQ146" s="30"/>
      <c r="AR146" s="31"/>
      <c r="AS146" s="26"/>
      <c r="AT146" s="26"/>
      <c r="AU146" s="26"/>
      <c r="AV146" s="26"/>
      <c r="AW146" s="26"/>
      <c r="AX146" s="26"/>
      <c r="AY146" s="26"/>
      <c r="AZ146" s="26"/>
    </row>
    <row r="147" spans="1:53">
      <c r="A147" s="26"/>
      <c r="AG147" s="227" t="s">
        <v>143</v>
      </c>
      <c r="AH147" s="243">
        <f>T89*T65+T65</f>
        <v>514328.31669381412</v>
      </c>
      <c r="AI147" s="244">
        <f>T13</f>
        <v>0</v>
      </c>
      <c r="AJ147" s="230">
        <f>AH147+T12</f>
        <v>514328.31669381412</v>
      </c>
      <c r="AL147" s="34"/>
      <c r="AM147" s="30"/>
      <c r="AN147" s="30"/>
      <c r="AO147" s="30"/>
      <c r="AP147" s="29"/>
      <c r="AQ147" s="30"/>
      <c r="AR147" s="31"/>
      <c r="AS147" s="26"/>
      <c r="AT147" s="26"/>
      <c r="AU147" s="26"/>
      <c r="AV147" s="26"/>
      <c r="AW147" s="26"/>
      <c r="AX147" s="26"/>
      <c r="AY147" s="26"/>
      <c r="AZ147" s="26"/>
    </row>
    <row r="148" spans="1:53">
      <c r="A148" s="26"/>
      <c r="AG148" s="28" t="s">
        <v>144</v>
      </c>
      <c r="AH148" s="44">
        <f>T89*T66+T66</f>
        <v>187688.03951721519</v>
      </c>
      <c r="AI148" s="151">
        <f>T21</f>
        <v>37445.940627684155</v>
      </c>
      <c r="AJ148" s="226">
        <f>AI148+AH148</f>
        <v>225133.98014489934</v>
      </c>
      <c r="AL148" s="27"/>
      <c r="AM148" s="30"/>
      <c r="AN148" s="30"/>
      <c r="AO148" s="29"/>
      <c r="AP148" s="30"/>
      <c r="AQ148" s="30"/>
      <c r="AR148" s="31"/>
      <c r="AS148" s="26"/>
      <c r="AT148" s="26"/>
      <c r="AU148" s="26"/>
      <c r="AV148" s="26"/>
      <c r="AW148" s="26"/>
      <c r="AX148" s="26"/>
      <c r="AY148" s="26"/>
      <c r="AZ148" s="26"/>
      <c r="BA148" s="24"/>
    </row>
    <row r="149" spans="1:53">
      <c r="A149" s="26"/>
      <c r="AG149" s="28" t="s">
        <v>145</v>
      </c>
      <c r="AH149" s="44">
        <f>T89*T67+T67</f>
        <v>156774.7153614386</v>
      </c>
      <c r="AI149" s="151">
        <f>T30</f>
        <v>164903.96184689968</v>
      </c>
      <c r="AJ149" s="226">
        <f>AI149+AH149</f>
        <v>321678.67720833828</v>
      </c>
      <c r="AL149" s="27"/>
      <c r="AQ149" s="30"/>
      <c r="AR149" s="31"/>
      <c r="AS149" s="26"/>
      <c r="AT149" s="26"/>
      <c r="AU149" s="26"/>
      <c r="AV149" s="26"/>
      <c r="AW149" s="26"/>
      <c r="AX149" s="26"/>
      <c r="AY149" s="26"/>
      <c r="AZ149" s="26"/>
      <c r="BA149" s="24"/>
    </row>
    <row r="150" spans="1:53">
      <c r="A150" s="26"/>
      <c r="AG150" s="35" t="s">
        <v>146</v>
      </c>
      <c r="AH150" s="245">
        <f>T89*T68+T68</f>
        <v>143841.58994932796</v>
      </c>
      <c r="AI150" s="246">
        <f>T38</f>
        <v>197826.46100113002</v>
      </c>
      <c r="AJ150" s="233">
        <f>AI150+AH150</f>
        <v>341668.05095045798</v>
      </c>
      <c r="AL150" s="27"/>
      <c r="AQ150" s="30"/>
      <c r="AR150" s="31"/>
      <c r="AS150" s="26"/>
      <c r="AT150" s="26"/>
      <c r="AU150" s="26"/>
      <c r="AV150" s="26"/>
      <c r="AW150" s="26"/>
      <c r="AX150" s="26"/>
      <c r="AY150" s="26"/>
      <c r="AZ150" s="26"/>
      <c r="BA150" s="24"/>
    </row>
    <row r="151" spans="1:53">
      <c r="A151" s="26"/>
      <c r="AG151" s="28"/>
      <c r="AH151" s="27"/>
      <c r="AI151" s="27"/>
      <c r="AJ151" s="32"/>
      <c r="AL151" s="27"/>
      <c r="AQ151" s="30"/>
      <c r="AR151" s="31"/>
      <c r="AS151" s="26"/>
      <c r="AT151" s="26"/>
      <c r="AU151" s="26"/>
      <c r="AV151" s="26"/>
      <c r="AW151" s="26"/>
      <c r="AX151" s="26"/>
      <c r="AY151" s="26"/>
      <c r="AZ151" s="26" t="s">
        <v>130</v>
      </c>
      <c r="BA151" s="24"/>
    </row>
    <row r="152" spans="1:53">
      <c r="A152" s="26"/>
      <c r="AG152" s="42" t="s">
        <v>233</v>
      </c>
      <c r="AH152" s="33"/>
      <c r="AI152" s="27"/>
      <c r="AJ152" s="32"/>
      <c r="AL152" s="27"/>
      <c r="AQ152" s="30"/>
      <c r="AR152" s="31"/>
      <c r="AS152" s="26"/>
      <c r="AT152" s="26"/>
      <c r="AU152" s="26"/>
      <c r="AV152" s="26"/>
      <c r="AW152" s="26"/>
      <c r="AX152" s="26"/>
      <c r="AY152" s="26"/>
      <c r="AZ152" s="26" t="s">
        <v>131</v>
      </c>
      <c r="BA152" s="24"/>
    </row>
    <row r="153" spans="1:53">
      <c r="A153" s="26"/>
      <c r="AG153" s="28"/>
      <c r="AH153" s="27" t="s">
        <v>45</v>
      </c>
      <c r="AI153" s="27"/>
      <c r="AJ153" s="32" t="s">
        <v>44</v>
      </c>
      <c r="AL153" s="27"/>
      <c r="AQ153" s="30"/>
      <c r="AR153" s="31"/>
      <c r="AS153" s="26"/>
      <c r="AT153" s="26"/>
      <c r="AU153" s="26"/>
      <c r="AV153" s="26"/>
      <c r="AW153" s="26"/>
      <c r="AX153" s="26"/>
      <c r="AY153" s="26"/>
      <c r="AZ153" s="26"/>
      <c r="BA153" s="24"/>
    </row>
    <row r="154" spans="1:53">
      <c r="A154" s="26"/>
      <c r="AG154" s="28" t="s">
        <v>53</v>
      </c>
      <c r="AH154" s="27" t="s">
        <v>31</v>
      </c>
      <c r="AI154" s="27" t="s">
        <v>187</v>
      </c>
      <c r="AJ154" s="32" t="s">
        <v>186</v>
      </c>
      <c r="AL154" s="27"/>
      <c r="AQ154" s="30"/>
      <c r="AR154" s="31"/>
      <c r="AS154" s="26"/>
      <c r="AT154" s="26"/>
      <c r="AU154" s="26"/>
      <c r="AV154" s="26"/>
      <c r="AW154" s="26"/>
      <c r="AX154" s="26"/>
      <c r="AY154" s="26"/>
      <c r="AZ154" s="26"/>
      <c r="BA154" s="24"/>
    </row>
    <row r="155" spans="1:53">
      <c r="A155" s="26"/>
      <c r="AG155" s="227" t="s">
        <v>143</v>
      </c>
      <c r="AH155" s="243">
        <f>T89*T65/U54+T65</f>
        <v>20687.682704116203</v>
      </c>
      <c r="AI155" s="247">
        <f>AC11</f>
        <v>0</v>
      </c>
      <c r="AJ155" s="230">
        <f>AI155+AH155</f>
        <v>20687.682704116203</v>
      </c>
      <c r="AL155" s="27"/>
      <c r="AQ155" s="30"/>
      <c r="AR155" s="31"/>
      <c r="AS155" s="26"/>
      <c r="AT155" s="26"/>
      <c r="AU155" s="26"/>
      <c r="AV155" s="26"/>
      <c r="AW155" s="26"/>
      <c r="AX155" s="26"/>
      <c r="AY155" s="26"/>
      <c r="AZ155" s="26"/>
      <c r="BA155" s="24"/>
    </row>
    <row r="156" spans="1:53">
      <c r="A156" s="26"/>
      <c r="AG156" s="28" t="s">
        <v>144</v>
      </c>
      <c r="AH156" s="44">
        <f>T89*T66/U54+T66</f>
        <v>7549.3230352340615</v>
      </c>
      <c r="AI156" s="159">
        <f>AC13</f>
        <v>748.9188125536831</v>
      </c>
      <c r="AJ156" s="226">
        <f>AI156+AH156</f>
        <v>8298.2418477877454</v>
      </c>
      <c r="AL156" s="27"/>
      <c r="AR156" s="31"/>
      <c r="AS156" s="26"/>
      <c r="AT156" s="26"/>
      <c r="AU156" s="26"/>
      <c r="AV156" s="26"/>
      <c r="AW156" s="26"/>
      <c r="AX156" s="26"/>
      <c r="AY156" s="26"/>
      <c r="AZ156" s="26"/>
      <c r="BA156" s="24"/>
    </row>
    <row r="157" spans="1:53">
      <c r="A157" s="26"/>
      <c r="AG157" s="28" t="s">
        <v>145</v>
      </c>
      <c r="AH157" s="44">
        <f>T89*T67/U54+T67</f>
        <v>6305.905123548453</v>
      </c>
      <c r="AI157" s="159">
        <f>AC15</f>
        <v>3298.0792369379938</v>
      </c>
      <c r="AJ157" s="226">
        <f>AI157+AH157</f>
        <v>9603.9843604864473</v>
      </c>
      <c r="AL157" s="27"/>
      <c r="AR157" s="26"/>
      <c r="AS157" s="26"/>
      <c r="AT157" s="26"/>
      <c r="AU157" s="26"/>
      <c r="AV157" s="26"/>
      <c r="AW157" s="26"/>
      <c r="AX157" s="26"/>
      <c r="AY157" s="26"/>
      <c r="AZ157" s="26"/>
      <c r="BA157" s="24"/>
    </row>
    <row r="158" spans="1:53">
      <c r="A158" s="26"/>
      <c r="AG158" s="35" t="s">
        <v>146</v>
      </c>
      <c r="AH158" s="245">
        <f>T89*T68/U54+T68</f>
        <v>5785.6996707003909</v>
      </c>
      <c r="AI158" s="248">
        <f>AC17</f>
        <v>3956.5292200226004</v>
      </c>
      <c r="AJ158" s="233">
        <f>AI158+AH158</f>
        <v>9742.2288907229922</v>
      </c>
      <c r="AL158" s="27"/>
      <c r="AR158" s="26"/>
      <c r="AS158" s="26"/>
      <c r="AT158" s="26"/>
      <c r="AU158" s="26"/>
      <c r="AV158" s="26"/>
      <c r="AW158" s="26"/>
      <c r="AX158" s="26"/>
      <c r="AY158" s="26"/>
      <c r="AZ158" s="26"/>
      <c r="BA158" s="24"/>
    </row>
    <row r="159" spans="1:53">
      <c r="A159" s="26"/>
      <c r="AG159" s="28"/>
      <c r="AH159" s="27"/>
      <c r="AI159" s="27"/>
      <c r="AJ159" s="27"/>
      <c r="AK159" s="4"/>
      <c r="AL159" s="27"/>
      <c r="AR159" s="26"/>
      <c r="AS159" s="26"/>
      <c r="AT159" s="26"/>
      <c r="AU159" s="26"/>
      <c r="AW159" s="26"/>
      <c r="AX159" s="26"/>
      <c r="AY159" s="26"/>
      <c r="BA159" s="24"/>
    </row>
    <row r="160" spans="1:53">
      <c r="A160" s="26"/>
      <c r="AG160" s="27"/>
      <c r="AH160" s="4"/>
      <c r="AI160" s="4"/>
      <c r="AJ160" s="4"/>
      <c r="AL160" s="27"/>
      <c r="AR160" s="26"/>
      <c r="AS160" s="26"/>
      <c r="AT160" s="26"/>
      <c r="AU160" s="26"/>
      <c r="AW160" s="26"/>
      <c r="AX160" s="26"/>
      <c r="AY160" s="26"/>
      <c r="BA160" s="24"/>
    </row>
    <row r="161" spans="1:53">
      <c r="A161" s="26"/>
      <c r="AG161" s="27"/>
      <c r="AH161" s="4"/>
      <c r="AI161" s="4"/>
      <c r="AJ161" s="4"/>
      <c r="AL161" s="27"/>
      <c r="AR161" s="26"/>
      <c r="AS161" s="26"/>
      <c r="AT161" s="26"/>
      <c r="AU161" s="26"/>
      <c r="AV161" s="26"/>
      <c r="AW161" s="26"/>
      <c r="AX161" s="26"/>
      <c r="AY161" s="26"/>
      <c r="AZ161" s="26"/>
      <c r="BA161" s="24"/>
    </row>
    <row r="162" spans="1:53">
      <c r="AG162" s="28" t="s">
        <v>54</v>
      </c>
      <c r="AL162" s="27"/>
      <c r="AR162" s="26"/>
      <c r="AS162" s="26"/>
      <c r="AT162" s="26"/>
      <c r="AU162" s="26"/>
      <c r="AV162" s="26"/>
      <c r="AW162" s="26"/>
      <c r="AX162" s="26"/>
      <c r="AY162" s="26"/>
      <c r="AZ162" s="26"/>
      <c r="BA162" s="24"/>
    </row>
    <row r="163" spans="1:53">
      <c r="AG163" s="27"/>
      <c r="AL163" s="27"/>
      <c r="AR163" s="26"/>
      <c r="AS163" s="26"/>
      <c r="AT163" s="26"/>
      <c r="AU163" s="26"/>
      <c r="AV163" s="26"/>
      <c r="AW163" s="26"/>
      <c r="AX163" s="26"/>
      <c r="AY163" s="26"/>
      <c r="AZ163" s="26"/>
      <c r="BA163" s="24"/>
    </row>
    <row r="164" spans="1:53">
      <c r="AG164" s="26"/>
      <c r="AH164" s="26"/>
      <c r="AR164" s="26"/>
      <c r="AS164" s="26"/>
      <c r="AT164" s="26"/>
      <c r="AU164" s="26"/>
      <c r="AV164" s="26"/>
      <c r="AW164" s="26"/>
      <c r="AX164" s="26"/>
      <c r="AY164" s="26"/>
      <c r="AZ164" s="26"/>
      <c r="BA164" s="24"/>
    </row>
    <row r="165" spans="1:53">
      <c r="AG165" s="26"/>
      <c r="AH165" s="26"/>
      <c r="AR165" s="26"/>
      <c r="AS165" s="26"/>
      <c r="AT165" s="26"/>
      <c r="AU165" s="26"/>
      <c r="AV165" s="26"/>
      <c r="AW165" s="26"/>
      <c r="AX165" s="26"/>
      <c r="AY165" s="26"/>
      <c r="AZ165" s="26"/>
      <c r="BA165" s="24"/>
    </row>
    <row r="166" spans="1:53">
      <c r="AG166" s="26"/>
      <c r="AH166" s="26"/>
      <c r="AR166" s="26"/>
      <c r="AS166" s="26"/>
      <c r="AT166" s="26"/>
      <c r="AU166" s="26"/>
      <c r="AV166" s="26"/>
      <c r="AW166" s="26"/>
      <c r="AX166" s="26"/>
      <c r="AY166" s="26"/>
      <c r="AZ166" s="26"/>
      <c r="BA166" s="24"/>
    </row>
    <row r="167" spans="1:53">
      <c r="AZ167" s="26"/>
      <c r="BA167" s="24"/>
    </row>
  </sheetData>
  <sheetProtection password="9964" sheet="1" objects="1" scenarios="1"/>
  <printOptions headings="1" gridLines="1"/>
  <pageMargins left="0.16" right="0.13" top="0.25" bottom="0.2" header="0.19" footer="0.16"/>
  <pageSetup orientation="landscape" r:id="rId1"/>
  <drawing r:id="rId2"/>
</worksheet>
</file>

<file path=xl/worksheets/sheet3.xml><?xml version="1.0" encoding="utf-8"?>
<worksheet xmlns="http://schemas.openxmlformats.org/spreadsheetml/2006/main" xmlns:r="http://schemas.openxmlformats.org/officeDocument/2006/relationships">
  <sheetPr>
    <tabColor rgb="FF92D050"/>
  </sheetPr>
  <dimension ref="B1:W30"/>
  <sheetViews>
    <sheetView workbookViewId="0">
      <selection activeCell="D33" sqref="D33"/>
    </sheetView>
  </sheetViews>
  <sheetFormatPr defaultRowHeight="15"/>
  <cols>
    <col min="3" max="3" width="0" hidden="1" customWidth="1"/>
    <col min="4" max="4" width="10.5703125" bestFit="1" customWidth="1"/>
  </cols>
  <sheetData>
    <row r="1" spans="2:23">
      <c r="C1" t="s">
        <v>118</v>
      </c>
    </row>
    <row r="2" spans="2:23">
      <c r="B2" t="s">
        <v>293</v>
      </c>
      <c r="C2">
        <v>11.9</v>
      </c>
      <c r="D2">
        <v>0.93</v>
      </c>
      <c r="E2" t="s">
        <v>294</v>
      </c>
    </row>
    <row r="4" spans="2:23">
      <c r="C4" t="s">
        <v>117</v>
      </c>
      <c r="D4" t="s">
        <v>50</v>
      </c>
      <c r="V4" t="s">
        <v>292</v>
      </c>
    </row>
    <row r="5" spans="2:23">
      <c r="B5" t="s">
        <v>101</v>
      </c>
      <c r="C5">
        <v>0.57999999999999996</v>
      </c>
      <c r="D5" s="17">
        <f>C5/D2</f>
        <v>0.62365591397849451</v>
      </c>
      <c r="V5" t="s">
        <v>80</v>
      </c>
    </row>
    <row r="6" spans="2:23">
      <c r="B6" t="s">
        <v>102</v>
      </c>
      <c r="C6">
        <v>0.1</v>
      </c>
      <c r="D6" s="17">
        <f>C6/D2</f>
        <v>0.10752688172043011</v>
      </c>
      <c r="V6" t="s">
        <v>81</v>
      </c>
    </row>
    <row r="7" spans="2:23">
      <c r="B7" t="s">
        <v>103</v>
      </c>
      <c r="C7">
        <v>0.53</v>
      </c>
      <c r="D7" s="17">
        <f>C7/D2</f>
        <v>0.56989247311827962</v>
      </c>
      <c r="V7" t="s">
        <v>82</v>
      </c>
    </row>
    <row r="8" spans="2:23">
      <c r="B8" t="s">
        <v>104</v>
      </c>
      <c r="C8">
        <v>0.39</v>
      </c>
      <c r="D8" s="17">
        <f>C8/D2</f>
        <v>0.41935483870967744</v>
      </c>
      <c r="V8" t="s">
        <v>83</v>
      </c>
    </row>
    <row r="9" spans="2:23">
      <c r="B9" s="182" t="s">
        <v>7</v>
      </c>
      <c r="C9">
        <v>1.04</v>
      </c>
      <c r="D9" s="17">
        <f>C9/D2</f>
        <v>1.118279569892473</v>
      </c>
      <c r="V9" t="s">
        <v>84</v>
      </c>
    </row>
    <row r="10" spans="2:23">
      <c r="B10" s="182" t="s">
        <v>105</v>
      </c>
      <c r="C10">
        <v>7.49</v>
      </c>
      <c r="D10" s="17">
        <f>C10/D2</f>
        <v>8.0537634408602141</v>
      </c>
      <c r="V10" t="s">
        <v>291</v>
      </c>
    </row>
    <row r="11" spans="2:23">
      <c r="B11" s="182" t="s">
        <v>69</v>
      </c>
      <c r="C11">
        <v>1.73E-4</v>
      </c>
      <c r="D11" s="17">
        <f>C11/D2</f>
        <v>1.8602150537634407E-4</v>
      </c>
    </row>
    <row r="12" spans="2:23">
      <c r="B12" s="182" t="s">
        <v>62</v>
      </c>
      <c r="C12">
        <v>0.02</v>
      </c>
      <c r="D12" s="17">
        <f>C12/D2</f>
        <v>2.150537634408602E-2</v>
      </c>
      <c r="V12" t="s">
        <v>85</v>
      </c>
      <c r="W12" t="s">
        <v>86</v>
      </c>
    </row>
    <row r="13" spans="2:23">
      <c r="B13" s="182" t="s">
        <v>106</v>
      </c>
      <c r="C13">
        <v>0.02</v>
      </c>
      <c r="D13" s="17">
        <f>C13/D2</f>
        <v>2.150537634408602E-2</v>
      </c>
    </row>
    <row r="14" spans="2:23">
      <c r="B14" t="s">
        <v>107</v>
      </c>
      <c r="C14">
        <v>1.06</v>
      </c>
      <c r="D14" s="17">
        <f>C14/D2</f>
        <v>1.1397849462365592</v>
      </c>
    </row>
    <row r="15" spans="2:23">
      <c r="B15" t="s">
        <v>108</v>
      </c>
      <c r="C15">
        <v>0.01</v>
      </c>
      <c r="D15" s="17">
        <f>C15/D2</f>
        <v>1.075268817204301E-2</v>
      </c>
    </row>
    <row r="16" spans="2:23">
      <c r="B16" t="s">
        <v>109</v>
      </c>
      <c r="C16">
        <v>0.09</v>
      </c>
      <c r="D16" s="17">
        <f>C16/D2</f>
        <v>9.6774193548387094E-2</v>
      </c>
    </row>
    <row r="17" spans="2:5">
      <c r="B17" t="s">
        <v>110</v>
      </c>
      <c r="C17">
        <v>0.62</v>
      </c>
      <c r="D17" s="17">
        <f>C17/D2</f>
        <v>0.66666666666666663</v>
      </c>
    </row>
    <row r="18" spans="2:5">
      <c r="B18" t="s">
        <v>111</v>
      </c>
      <c r="C18">
        <v>0.94</v>
      </c>
      <c r="D18" s="17">
        <f>C18/D2</f>
        <v>1.010752688172043</v>
      </c>
    </row>
    <row r="19" spans="2:5">
      <c r="B19" t="s">
        <v>112</v>
      </c>
      <c r="C19">
        <v>0.62</v>
      </c>
      <c r="D19" s="17">
        <f>C19/D2</f>
        <v>0.66666666666666663</v>
      </c>
    </row>
    <row r="20" spans="2:5">
      <c r="B20" s="182" t="s">
        <v>113</v>
      </c>
      <c r="C20">
        <v>2.19</v>
      </c>
      <c r="D20" s="17">
        <f>C20/D2</f>
        <v>2.354838709677419</v>
      </c>
    </row>
    <row r="21" spans="2:5">
      <c r="B21" t="s">
        <v>114</v>
      </c>
      <c r="C21">
        <v>1.1499999999999999</v>
      </c>
      <c r="D21" s="17">
        <f>C21/D2</f>
        <v>1.236559139784946</v>
      </c>
    </row>
    <row r="22" spans="2:5">
      <c r="B22" s="182" t="s">
        <v>100</v>
      </c>
      <c r="C22">
        <v>5.0199999999999996</v>
      </c>
      <c r="D22" s="17">
        <f>C22/D2</f>
        <v>5.397849462365591</v>
      </c>
    </row>
    <row r="23" spans="2:5">
      <c r="B23" t="s">
        <v>69</v>
      </c>
      <c r="C23">
        <v>2.35</v>
      </c>
      <c r="D23" s="17">
        <f>C23/D2</f>
        <v>2.5268817204301075</v>
      </c>
      <c r="E23" t="s">
        <v>119</v>
      </c>
    </row>
    <row r="24" spans="2:5">
      <c r="B24" t="s">
        <v>115</v>
      </c>
      <c r="C24">
        <v>4.45</v>
      </c>
      <c r="D24" s="17">
        <f>C24/D2</f>
        <v>4.78494623655914</v>
      </c>
    </row>
    <row r="25" spans="2:5">
      <c r="B25" s="182" t="s">
        <v>69</v>
      </c>
      <c r="C25">
        <v>0.05</v>
      </c>
      <c r="D25" s="17">
        <f>C25/D2</f>
        <v>5.3763440860215055E-2</v>
      </c>
    </row>
    <row r="27" spans="2:5">
      <c r="B27" t="s">
        <v>116</v>
      </c>
      <c r="C27">
        <v>3019</v>
      </c>
    </row>
    <row r="28" spans="2:5">
      <c r="B28" t="s">
        <v>295</v>
      </c>
    </row>
    <row r="29" spans="2:5">
      <c r="B29" t="s">
        <v>296</v>
      </c>
    </row>
    <row r="30" spans="2:5">
      <c r="B30" t="s">
        <v>297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2:L65"/>
  <sheetViews>
    <sheetView workbookViewId="0">
      <selection activeCell="L16" sqref="L16"/>
    </sheetView>
  </sheetViews>
  <sheetFormatPr defaultRowHeight="15"/>
  <cols>
    <col min="1" max="1" width="19.42578125" customWidth="1"/>
    <col min="2" max="2" width="15.28515625" customWidth="1"/>
    <col min="3" max="3" width="17.140625" customWidth="1"/>
    <col min="4" max="4" width="19.28515625" customWidth="1"/>
    <col min="6" max="6" width="18.42578125" customWidth="1"/>
    <col min="8" max="8" width="19.42578125" customWidth="1"/>
    <col min="10" max="10" width="13" customWidth="1"/>
    <col min="11" max="11" width="12.5703125" customWidth="1"/>
  </cols>
  <sheetData>
    <row r="2" spans="1:12" s="4" customFormat="1">
      <c r="C2" s="1"/>
      <c r="D2" s="1"/>
      <c r="E2" s="1"/>
      <c r="F2" s="1"/>
      <c r="G2" s="1"/>
      <c r="H2" s="1"/>
      <c r="I2" s="1"/>
      <c r="J2" s="1"/>
      <c r="K2" s="1"/>
      <c r="L2" s="1"/>
    </row>
    <row r="3" spans="1:12">
      <c r="A3" t="s">
        <v>321</v>
      </c>
    </row>
    <row r="5" spans="1:12" s="6" customFormat="1">
      <c r="B5" s="6" t="s">
        <v>143</v>
      </c>
      <c r="D5" s="6" t="s">
        <v>144</v>
      </c>
      <c r="F5" s="6" t="s">
        <v>300</v>
      </c>
      <c r="H5" s="6" t="s">
        <v>146</v>
      </c>
    </row>
    <row r="6" spans="1:12" ht="48">
      <c r="A6" t="s">
        <v>301</v>
      </c>
      <c r="B6" t="s">
        <v>322</v>
      </c>
      <c r="C6" s="7">
        <v>0</v>
      </c>
      <c r="D6" s="1" t="s">
        <v>299</v>
      </c>
      <c r="E6" s="8">
        <v>1377</v>
      </c>
      <c r="F6" s="1" t="s">
        <v>298</v>
      </c>
      <c r="G6" s="7">
        <v>1428</v>
      </c>
      <c r="H6" s="1" t="s">
        <v>316</v>
      </c>
      <c r="I6" s="7">
        <v>676</v>
      </c>
    </row>
    <row r="7" spans="1:12" ht="36">
      <c r="A7" t="s">
        <v>302</v>
      </c>
      <c r="B7" t="s">
        <v>322</v>
      </c>
      <c r="C7" s="7">
        <v>0</v>
      </c>
      <c r="D7" s="1" t="s">
        <v>310</v>
      </c>
      <c r="E7" s="8">
        <v>473</v>
      </c>
      <c r="F7" s="1" t="s">
        <v>311</v>
      </c>
      <c r="G7" s="7">
        <v>803</v>
      </c>
      <c r="H7" s="1" t="s">
        <v>317</v>
      </c>
      <c r="I7" s="7">
        <v>826</v>
      </c>
    </row>
    <row r="8" spans="1:12" ht="36">
      <c r="B8" t="s">
        <v>322</v>
      </c>
      <c r="C8" s="7">
        <v>0</v>
      </c>
      <c r="D8" s="1"/>
      <c r="E8" s="8"/>
      <c r="F8" s="14" t="s">
        <v>312</v>
      </c>
      <c r="G8" s="7">
        <v>1015</v>
      </c>
      <c r="H8" s="14" t="s">
        <v>318</v>
      </c>
      <c r="I8" s="7">
        <v>296</v>
      </c>
    </row>
    <row r="9" spans="1:12" ht="36">
      <c r="A9" t="s">
        <v>303</v>
      </c>
      <c r="B9" t="s">
        <v>322</v>
      </c>
      <c r="C9" s="7">
        <v>0</v>
      </c>
      <c r="D9" s="1" t="s">
        <v>305</v>
      </c>
      <c r="E9" s="8">
        <v>1283</v>
      </c>
      <c r="F9" s="1" t="s">
        <v>313</v>
      </c>
      <c r="G9" s="7">
        <v>825</v>
      </c>
      <c r="H9" s="1" t="s">
        <v>319</v>
      </c>
      <c r="I9" s="7">
        <v>1120</v>
      </c>
    </row>
    <row r="10" spans="1:12" ht="36">
      <c r="B10" t="s">
        <v>322</v>
      </c>
      <c r="C10" s="7">
        <v>0</v>
      </c>
      <c r="D10" s="1" t="s">
        <v>306</v>
      </c>
      <c r="E10" s="8">
        <v>500</v>
      </c>
      <c r="F10" s="1" t="s">
        <v>314</v>
      </c>
      <c r="G10" s="7">
        <v>170</v>
      </c>
      <c r="H10" s="14" t="s">
        <v>320</v>
      </c>
      <c r="I10" s="7">
        <v>527</v>
      </c>
    </row>
    <row r="11" spans="1:12">
      <c r="C11" s="7"/>
      <c r="D11" s="1"/>
      <c r="E11" s="8"/>
      <c r="F11" s="1" t="s">
        <v>315</v>
      </c>
      <c r="G11" s="7">
        <v>4</v>
      </c>
      <c r="I11" s="7"/>
    </row>
    <row r="12" spans="1:12" ht="36">
      <c r="C12" s="7">
        <v>0</v>
      </c>
      <c r="D12" s="2" t="s">
        <v>308</v>
      </c>
      <c r="E12" s="9">
        <v>3634</v>
      </c>
      <c r="F12" s="2" t="s">
        <v>307</v>
      </c>
      <c r="G12" s="7">
        <v>4246</v>
      </c>
      <c r="H12" s="2" t="s">
        <v>309</v>
      </c>
      <c r="I12" s="7">
        <v>3445</v>
      </c>
    </row>
    <row r="13" spans="1:12">
      <c r="C13" s="7"/>
      <c r="D13" s="2"/>
      <c r="E13" s="9"/>
      <c r="F13" s="2"/>
      <c r="G13" s="7"/>
      <c r="H13" s="3"/>
      <c r="I13" s="7"/>
    </row>
    <row r="14" spans="1:12">
      <c r="C14" s="7">
        <v>0</v>
      </c>
      <c r="D14" s="3" t="s">
        <v>3</v>
      </c>
      <c r="E14" s="9">
        <v>42</v>
      </c>
      <c r="F14" s="1"/>
      <c r="G14" s="7">
        <v>48</v>
      </c>
      <c r="I14" s="7">
        <v>40</v>
      </c>
    </row>
    <row r="15" spans="1:12">
      <c r="C15" s="7"/>
      <c r="D15" s="3"/>
      <c r="E15" s="9"/>
      <c r="F15" s="1"/>
      <c r="G15" s="7"/>
      <c r="I15" s="7"/>
    </row>
    <row r="16" spans="1:12">
      <c r="A16" t="s">
        <v>141</v>
      </c>
      <c r="C16" s="7">
        <v>0</v>
      </c>
      <c r="D16" s="3"/>
      <c r="E16" s="9">
        <v>3634</v>
      </c>
      <c r="F16" s="1"/>
      <c r="G16" s="7">
        <f>G12+E12</f>
        <v>7880</v>
      </c>
      <c r="I16" s="7">
        <f>I12+G12+E12</f>
        <v>11325</v>
      </c>
    </row>
    <row r="17" spans="1:10" ht="15.75" thickBot="1">
      <c r="D17" s="4"/>
      <c r="E17" s="10"/>
      <c r="G17" s="7"/>
      <c r="I17" s="7"/>
    </row>
    <row r="18" spans="1:10" ht="24.75" thickBot="1">
      <c r="A18" s="5" t="s">
        <v>304</v>
      </c>
      <c r="B18" t="s">
        <v>5</v>
      </c>
      <c r="C18" s="11">
        <v>6522</v>
      </c>
      <c r="E18" s="11">
        <v>2380</v>
      </c>
      <c r="G18" s="11">
        <v>1988</v>
      </c>
      <c r="I18" s="11">
        <v>1824</v>
      </c>
    </row>
    <row r="19" spans="1:10" s="7" customFormat="1" ht="15.75" thickBot="1">
      <c r="A19" s="12" t="s">
        <v>15</v>
      </c>
      <c r="C19" s="13" t="s">
        <v>16</v>
      </c>
      <c r="E19" s="12" t="s">
        <v>17</v>
      </c>
      <c r="G19" s="12" t="s">
        <v>18</v>
      </c>
      <c r="I19" s="12" t="s">
        <v>19</v>
      </c>
    </row>
    <row r="21" spans="1:10">
      <c r="B21" s="4"/>
      <c r="C21" s="329"/>
      <c r="D21" s="4"/>
      <c r="E21" s="4"/>
      <c r="F21" s="4"/>
      <c r="I21" s="185"/>
      <c r="J21" s="4"/>
    </row>
    <row r="22" spans="1:10">
      <c r="B22" s="397"/>
      <c r="C22" s="1"/>
      <c r="D22" s="1"/>
      <c r="E22" s="4"/>
      <c r="F22" s="4"/>
      <c r="I22" s="186"/>
      <c r="J22" s="187"/>
    </row>
    <row r="23" spans="1:10" ht="15.75">
      <c r="B23" s="1"/>
      <c r="C23" s="1"/>
      <c r="D23" s="1"/>
      <c r="E23" s="4"/>
      <c r="F23" s="3"/>
      <c r="I23" s="188"/>
      <c r="J23" s="188"/>
    </row>
    <row r="24" spans="1:10" ht="15.75">
      <c r="B24" s="1"/>
      <c r="C24" s="1"/>
      <c r="D24" s="1"/>
      <c r="E24" s="4"/>
      <c r="F24" s="3"/>
      <c r="I24" s="189"/>
      <c r="J24" s="188"/>
    </row>
    <row r="25" spans="1:10">
      <c r="B25" s="1"/>
      <c r="C25" s="1"/>
      <c r="D25" s="1"/>
      <c r="E25" s="4"/>
      <c r="F25" s="3"/>
      <c r="I25" s="185"/>
      <c r="J25" s="190"/>
    </row>
    <row r="26" spans="1:10">
      <c r="B26" s="1"/>
      <c r="C26" s="1"/>
      <c r="D26" s="1"/>
      <c r="E26" s="4"/>
      <c r="F26" s="3"/>
      <c r="I26" s="185"/>
      <c r="J26" s="191"/>
    </row>
    <row r="27" spans="1:10">
      <c r="B27" s="1"/>
      <c r="C27" s="1"/>
      <c r="D27" s="1"/>
      <c r="E27" s="4"/>
      <c r="F27" s="3"/>
      <c r="I27" s="185"/>
      <c r="J27" s="190"/>
    </row>
    <row r="28" spans="1:10">
      <c r="B28" s="1"/>
      <c r="C28" s="1"/>
      <c r="D28" s="1"/>
      <c r="E28" s="4"/>
      <c r="F28" s="3"/>
      <c r="I28" s="185"/>
      <c r="J28" s="190"/>
    </row>
    <row r="29" spans="1:10">
      <c r="B29" s="1"/>
      <c r="C29" s="1"/>
      <c r="D29" s="1"/>
      <c r="E29" s="4"/>
      <c r="F29" s="3"/>
      <c r="I29" s="185"/>
      <c r="J29" s="190"/>
    </row>
    <row r="30" spans="1:10">
      <c r="B30" s="1"/>
      <c r="C30" s="1"/>
      <c r="D30" s="1"/>
      <c r="E30" s="4"/>
      <c r="F30" s="4"/>
      <c r="I30" s="185"/>
      <c r="J30" s="190"/>
    </row>
    <row r="31" spans="1:10" ht="15.75">
      <c r="B31" s="1"/>
      <c r="C31" s="1"/>
      <c r="D31" s="1"/>
      <c r="E31" s="4"/>
      <c r="F31" s="4"/>
      <c r="I31" s="188"/>
      <c r="J31" s="188"/>
    </row>
    <row r="32" spans="1:10" ht="15.75">
      <c r="B32" s="1"/>
      <c r="C32" s="1"/>
      <c r="D32" s="1"/>
      <c r="E32" s="4"/>
      <c r="F32" s="4"/>
      <c r="I32" s="189"/>
      <c r="J32" s="188"/>
    </row>
    <row r="33" spans="2:10">
      <c r="B33" s="1"/>
      <c r="C33" s="1"/>
      <c r="D33" s="1"/>
      <c r="E33" s="4"/>
      <c r="F33" s="4"/>
      <c r="I33" s="185"/>
      <c r="J33" s="190"/>
    </row>
    <row r="34" spans="2:10">
      <c r="B34" s="2"/>
      <c r="C34" s="1"/>
      <c r="D34" s="1"/>
      <c r="E34" s="4"/>
      <c r="F34" s="4"/>
      <c r="I34" s="185"/>
      <c r="J34" s="190"/>
    </row>
    <row r="35" spans="2:10">
      <c r="B35" s="1"/>
      <c r="C35" s="1"/>
      <c r="D35" s="1"/>
      <c r="E35" s="4"/>
      <c r="F35" s="4"/>
      <c r="I35" s="185"/>
      <c r="J35" s="190"/>
    </row>
    <row r="36" spans="2:10">
      <c r="B36" s="397"/>
      <c r="C36" s="1"/>
      <c r="D36" s="1"/>
      <c r="E36" s="4"/>
      <c r="F36" s="4"/>
      <c r="I36" s="185"/>
      <c r="J36" s="190"/>
    </row>
    <row r="37" spans="2:10">
      <c r="B37" s="1"/>
      <c r="C37" s="398"/>
      <c r="D37" s="1"/>
      <c r="E37" s="4"/>
      <c r="F37" s="4"/>
      <c r="I37" s="185"/>
      <c r="J37" s="190"/>
    </row>
    <row r="38" spans="2:10">
      <c r="B38" s="1"/>
      <c r="C38" s="398"/>
      <c r="D38" s="1"/>
      <c r="E38" s="4"/>
      <c r="F38" s="4"/>
      <c r="I38" s="185"/>
      <c r="J38" s="190"/>
    </row>
    <row r="39" spans="2:10">
      <c r="B39" s="1"/>
      <c r="C39" s="398"/>
      <c r="D39" s="1"/>
      <c r="E39" s="4"/>
      <c r="F39" s="4"/>
      <c r="I39" s="185"/>
      <c r="J39" s="190"/>
    </row>
    <row r="40" spans="2:10" ht="15.75">
      <c r="B40" s="1"/>
      <c r="C40" s="398"/>
      <c r="D40" s="1"/>
      <c r="E40" s="4"/>
      <c r="F40" s="4"/>
      <c r="I40" s="188"/>
      <c r="J40" s="188"/>
    </row>
    <row r="41" spans="2:10" ht="15.75">
      <c r="B41" s="2"/>
      <c r="C41" s="398"/>
      <c r="D41" s="1"/>
      <c r="E41" s="4"/>
      <c r="F41" s="4"/>
      <c r="I41" s="188"/>
      <c r="J41" s="188"/>
    </row>
    <row r="42" spans="2:10" ht="15.75">
      <c r="B42" s="2"/>
      <c r="C42" s="398"/>
      <c r="D42" s="1"/>
      <c r="E42" s="4"/>
      <c r="F42" s="4"/>
      <c r="I42" s="185"/>
      <c r="J42" s="188"/>
    </row>
    <row r="43" spans="2:10">
      <c r="B43" s="397"/>
      <c r="C43" s="398"/>
      <c r="D43" s="1"/>
      <c r="E43" s="4"/>
      <c r="F43" s="4"/>
      <c r="I43" s="4"/>
      <c r="J43" s="4"/>
    </row>
    <row r="44" spans="2:10">
      <c r="B44" s="1"/>
      <c r="C44" s="398"/>
      <c r="D44" s="1"/>
      <c r="E44" s="4"/>
      <c r="F44" s="185"/>
      <c r="I44" s="4"/>
      <c r="J44" s="4"/>
    </row>
    <row r="45" spans="2:10">
      <c r="B45" s="397"/>
      <c r="C45" s="398"/>
      <c r="D45" s="1"/>
      <c r="E45" s="4"/>
      <c r="F45" s="4"/>
      <c r="I45" s="4"/>
      <c r="J45" s="4"/>
    </row>
    <row r="46" spans="2:10">
      <c r="B46" s="1"/>
      <c r="C46" s="398"/>
      <c r="D46" s="1"/>
      <c r="E46" s="4"/>
      <c r="F46" s="4"/>
      <c r="I46" s="4"/>
      <c r="J46" s="4"/>
    </row>
    <row r="47" spans="2:10">
      <c r="B47" s="1"/>
      <c r="C47" s="398"/>
      <c r="D47" s="1"/>
      <c r="E47" s="4"/>
      <c r="F47" s="4"/>
    </row>
    <row r="48" spans="2:10">
      <c r="B48" s="1"/>
      <c r="C48" s="398"/>
      <c r="D48" s="1"/>
      <c r="E48" s="4"/>
      <c r="F48" s="4"/>
    </row>
    <row r="49" spans="2:6">
      <c r="B49" s="1"/>
      <c r="C49" s="398"/>
      <c r="D49" s="1"/>
      <c r="E49" s="4"/>
      <c r="F49" s="4"/>
    </row>
    <row r="50" spans="2:6">
      <c r="B50" s="1"/>
      <c r="C50" s="398"/>
      <c r="D50" s="1"/>
      <c r="E50" s="4"/>
      <c r="F50" s="4"/>
    </row>
    <row r="51" spans="2:6">
      <c r="B51" s="1"/>
      <c r="C51" s="398"/>
      <c r="D51" s="1"/>
      <c r="E51" s="4"/>
      <c r="F51" s="4"/>
    </row>
    <row r="52" spans="2:6">
      <c r="B52" s="1"/>
      <c r="C52" s="398"/>
      <c r="D52" s="1"/>
      <c r="E52" s="4"/>
      <c r="F52" s="4"/>
    </row>
    <row r="53" spans="2:6">
      <c r="B53" s="1"/>
      <c r="C53" s="398"/>
      <c r="D53" s="1"/>
      <c r="E53" s="4"/>
      <c r="F53" s="4"/>
    </row>
    <row r="54" spans="2:6">
      <c r="B54" s="1"/>
      <c r="C54" s="398"/>
      <c r="D54" s="1"/>
      <c r="E54" s="4"/>
      <c r="F54" s="4"/>
    </row>
    <row r="55" spans="2:6">
      <c r="B55" s="1"/>
      <c r="C55" s="398"/>
      <c r="D55" s="1"/>
      <c r="E55" s="4"/>
      <c r="F55" s="4"/>
    </row>
    <row r="56" spans="2:6">
      <c r="B56" s="1"/>
      <c r="C56" s="398"/>
      <c r="D56" s="1"/>
      <c r="E56" s="4"/>
      <c r="F56" s="4"/>
    </row>
    <row r="57" spans="2:6">
      <c r="B57" s="1"/>
      <c r="C57" s="398"/>
      <c r="D57" s="1"/>
      <c r="E57" s="4"/>
      <c r="F57" s="4"/>
    </row>
    <row r="58" spans="2:6">
      <c r="B58" s="1"/>
      <c r="C58" s="398"/>
      <c r="D58" s="1"/>
      <c r="E58" s="4"/>
      <c r="F58" s="4"/>
    </row>
    <row r="59" spans="2:6">
      <c r="B59" s="1"/>
      <c r="C59" s="398"/>
      <c r="D59" s="1"/>
      <c r="E59" s="4"/>
      <c r="F59" s="4"/>
    </row>
    <row r="60" spans="2:6">
      <c r="B60" s="1"/>
      <c r="C60" s="398"/>
      <c r="D60" s="1"/>
      <c r="E60" s="4"/>
      <c r="F60" s="4"/>
    </row>
    <row r="61" spans="2:6">
      <c r="B61" s="1"/>
      <c r="C61" s="398"/>
      <c r="D61" s="1"/>
      <c r="E61" s="4"/>
      <c r="F61" s="4"/>
    </row>
    <row r="62" spans="2:6">
      <c r="B62" s="1"/>
      <c r="C62" s="398"/>
      <c r="D62" s="1"/>
      <c r="E62" s="4"/>
      <c r="F62" s="4"/>
    </row>
    <row r="63" spans="2:6">
      <c r="B63" s="1"/>
      <c r="C63" s="398"/>
      <c r="D63" s="1"/>
      <c r="E63" s="4"/>
      <c r="F63" s="4"/>
    </row>
    <row r="64" spans="2:6">
      <c r="B64" s="185"/>
      <c r="C64" s="4"/>
      <c r="D64" s="4"/>
      <c r="E64" s="4"/>
      <c r="F64" s="4"/>
    </row>
    <row r="65" spans="2:6">
      <c r="B65" s="185"/>
      <c r="C65" s="4"/>
      <c r="D65" s="4"/>
      <c r="E65" s="4"/>
      <c r="F65" s="4"/>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Cover-reader</vt:lpstr>
      <vt:lpstr>calculation</vt:lpstr>
      <vt:lpstr>data multi</vt:lpstr>
      <vt:lpstr>data insulation</vt:lpstr>
      <vt:lpstr>Blad1</vt:lpstr>
    </vt:vector>
  </TitlesOfParts>
  <Company>Sustainable Building Support Centre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Rovers</dc:creator>
  <cp:lastModifiedBy>Ronald Rovers</cp:lastModifiedBy>
  <cp:lastPrinted>2013-02-16T09:50:52Z</cp:lastPrinted>
  <dcterms:created xsi:type="dcterms:W3CDTF">2012-05-06T12:48:02Z</dcterms:created>
  <dcterms:modified xsi:type="dcterms:W3CDTF">2014-04-16T12:48:19Z</dcterms:modified>
</cp:coreProperties>
</file>